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7895" windowHeight="13230" activeTab="1"/>
  </bookViews>
  <sheets>
    <sheet name="Count" sheetId="1" r:id="rId1"/>
    <sheet name="TH Thành Công A" sheetId="16" r:id="rId2"/>
  </sheets>
  <calcPr calcId="144525"/>
</workbook>
</file>

<file path=xl/calcChain.xml><?xml version="1.0" encoding="utf-8"?>
<calcChain xmlns="http://schemas.openxmlformats.org/spreadsheetml/2006/main">
  <c r="A3" i="16" l="1"/>
  <c r="F26" i="16"/>
  <c r="K25" i="16"/>
  <c r="C25" i="16"/>
  <c r="H24" i="16"/>
  <c r="M23" i="16"/>
  <c r="E23" i="16"/>
  <c r="J22" i="16"/>
  <c r="B22" i="16"/>
  <c r="G21" i="16"/>
  <c r="L20" i="16"/>
  <c r="D20" i="16"/>
  <c r="I19" i="16"/>
  <c r="A19" i="16"/>
  <c r="F18" i="16"/>
  <c r="K17" i="16"/>
  <c r="C17" i="16"/>
  <c r="I16" i="16"/>
  <c r="A16" i="16"/>
  <c r="G15" i="16"/>
  <c r="M14" i="16"/>
  <c r="E14" i="16"/>
  <c r="K13" i="16"/>
  <c r="C13" i="16"/>
  <c r="I12" i="16"/>
  <c r="A12" i="16"/>
  <c r="G11" i="16"/>
  <c r="M10" i="16"/>
  <c r="E10" i="16"/>
  <c r="K9" i="16"/>
  <c r="C9" i="16"/>
  <c r="G26" i="16"/>
  <c r="L25" i="16"/>
  <c r="D25" i="16"/>
  <c r="I24" i="16"/>
  <c r="A24" i="16"/>
  <c r="F23" i="16"/>
  <c r="K22" i="16"/>
  <c r="C22" i="16"/>
  <c r="H21" i="16"/>
  <c r="M20" i="16"/>
  <c r="E20" i="16"/>
  <c r="J19" i="16"/>
  <c r="H26" i="16"/>
  <c r="M25" i="16"/>
  <c r="E25" i="16"/>
  <c r="J24" i="16"/>
  <c r="B24" i="16"/>
  <c r="G23" i="16"/>
  <c r="L22" i="16"/>
  <c r="D22" i="16"/>
  <c r="I21" i="16"/>
  <c r="A21" i="16"/>
  <c r="F20" i="16"/>
  <c r="K19" i="16"/>
  <c r="C19" i="16"/>
  <c r="H18" i="16"/>
  <c r="M17" i="16"/>
  <c r="E17" i="16"/>
  <c r="K16" i="16"/>
  <c r="C16" i="16"/>
  <c r="I15" i="16"/>
  <c r="A15" i="16"/>
  <c r="G14" i="16"/>
  <c r="M13" i="16"/>
  <c r="E13" i="16"/>
  <c r="K12" i="16"/>
  <c r="C12" i="16"/>
  <c r="I11" i="16"/>
  <c r="A11" i="16"/>
  <c r="G10" i="16"/>
  <c r="M9" i="16"/>
  <c r="E9" i="16"/>
  <c r="A26" i="16"/>
  <c r="K24" i="16"/>
  <c r="H23" i="16"/>
  <c r="E22" i="16"/>
  <c r="B21" i="16"/>
  <c r="L19" i="16"/>
  <c r="B19" i="16"/>
  <c r="G18" i="16"/>
  <c r="L17" i="16"/>
  <c r="D17" i="16"/>
  <c r="J16" i="16"/>
  <c r="B16" i="16"/>
  <c r="H15" i="16"/>
  <c r="N14" i="16"/>
  <c r="F14" i="16"/>
  <c r="L13" i="16"/>
  <c r="D13" i="16"/>
  <c r="J12" i="16"/>
  <c r="B12" i="16"/>
  <c r="H11" i="16"/>
  <c r="N10" i="16"/>
  <c r="F10" i="16"/>
  <c r="L9" i="16"/>
  <c r="D9" i="16"/>
  <c r="J8" i="16"/>
  <c r="B8" i="16"/>
  <c r="A9" i="16"/>
  <c r="M7" i="16"/>
  <c r="C7" i="16"/>
  <c r="A8" i="16"/>
  <c r="D7" i="16"/>
  <c r="E26" i="16"/>
  <c r="B25" i="16"/>
  <c r="L23" i="16"/>
  <c r="I22" i="16"/>
  <c r="F21" i="16"/>
  <c r="C20" i="16"/>
  <c r="D19" i="16"/>
  <c r="I18" i="16"/>
  <c r="A18" i="16"/>
  <c r="F17" i="16"/>
  <c r="L16" i="16"/>
  <c r="D16" i="16"/>
  <c r="J15" i="16"/>
  <c r="B15" i="16"/>
  <c r="H14" i="16"/>
  <c r="N13" i="16"/>
  <c r="F13" i="16"/>
  <c r="L12" i="16"/>
  <c r="D12" i="16"/>
  <c r="J11" i="16"/>
  <c r="B11" i="16"/>
  <c r="H10" i="16"/>
  <c r="N9" i="16"/>
  <c r="F9" i="16"/>
  <c r="J26" i="16"/>
  <c r="B26" i="16"/>
  <c r="G25" i="16"/>
  <c r="L24" i="16"/>
  <c r="D24" i="16"/>
  <c r="I23" i="16"/>
  <c r="A23" i="16"/>
  <c r="F22" i="16"/>
  <c r="K21" i="16"/>
  <c r="C21" i="16"/>
  <c r="H20" i="16"/>
  <c r="M19" i="16"/>
  <c r="E19" i="16"/>
  <c r="J18" i="16"/>
  <c r="B18" i="16"/>
  <c r="G17" i="16"/>
  <c r="M16" i="16"/>
  <c r="E16" i="16"/>
  <c r="K15" i="16"/>
  <c r="C15" i="16"/>
  <c r="I14" i="16"/>
  <c r="A14" i="16"/>
  <c r="G13" i="16"/>
  <c r="M12" i="16"/>
  <c r="E12" i="16"/>
  <c r="K11" i="16"/>
  <c r="C11" i="16"/>
  <c r="I10" i="16"/>
  <c r="A10" i="16"/>
  <c r="G9" i="16"/>
  <c r="K26" i="16"/>
  <c r="C26" i="16"/>
  <c r="H25" i="16"/>
  <c r="M24" i="16"/>
  <c r="E24" i="16"/>
  <c r="J23" i="16"/>
  <c r="B23" i="16"/>
  <c r="G22" i="16"/>
  <c r="L21" i="16"/>
  <c r="D21" i="16"/>
  <c r="I20" i="16"/>
  <c r="A20" i="16"/>
  <c r="L26" i="16"/>
  <c r="D26" i="16"/>
  <c r="I25" i="16"/>
  <c r="A25" i="16"/>
  <c r="F24" i="16"/>
  <c r="K23" i="16"/>
  <c r="C23" i="16"/>
  <c r="H22" i="16"/>
  <c r="M21" i="16"/>
  <c r="E21" i="16"/>
  <c r="J20" i="16"/>
  <c r="B20" i="16"/>
  <c r="G19" i="16"/>
  <c r="L18" i="16"/>
  <c r="D18" i="16"/>
  <c r="I17" i="16"/>
  <c r="A17" i="16"/>
  <c r="G16" i="16"/>
  <c r="M15" i="16"/>
  <c r="E15" i="16"/>
  <c r="K14" i="16"/>
  <c r="C14" i="16"/>
  <c r="I13" i="16"/>
  <c r="A13" i="16"/>
  <c r="G12" i="16"/>
  <c r="M11" i="16"/>
  <c r="E11" i="16"/>
  <c r="K10" i="16"/>
  <c r="C10" i="16"/>
  <c r="I9" i="16"/>
  <c r="I26" i="16"/>
  <c r="F25" i="16"/>
  <c r="C24" i="16"/>
  <c r="M22" i="16"/>
  <c r="J21" i="16"/>
  <c r="G20" i="16"/>
  <c r="F19" i="16"/>
  <c r="K18" i="16"/>
  <c r="C18" i="16"/>
  <c r="H17" i="16"/>
  <c r="N16" i="16"/>
  <c r="F16" i="16"/>
  <c r="L15" i="16"/>
  <c r="D15" i="16"/>
  <c r="J14" i="16"/>
  <c r="B14" i="16"/>
  <c r="H13" i="16"/>
  <c r="N12" i="16"/>
  <c r="F12" i="16"/>
  <c r="L11" i="16"/>
  <c r="D11" i="16"/>
  <c r="J10" i="16"/>
  <c r="B10" i="16"/>
  <c r="H9" i="16"/>
  <c r="N8" i="16"/>
  <c r="F8" i="16"/>
  <c r="L7" i="16"/>
  <c r="G8" i="16"/>
  <c r="G7" i="16"/>
  <c r="I8" i="16"/>
  <c r="H7" i="16"/>
  <c r="M26" i="16"/>
  <c r="J25" i="16"/>
  <c r="G24" i="16"/>
  <c r="D23" i="16"/>
  <c r="A22" i="16"/>
  <c r="K20" i="16"/>
  <c r="H19" i="16"/>
  <c r="M18" i="16"/>
  <c r="E18" i="16"/>
  <c r="J17" i="16"/>
  <c r="B17" i="16"/>
  <c r="H16" i="16"/>
  <c r="N15" i="16"/>
  <c r="F15" i="16"/>
  <c r="L14" i="16"/>
  <c r="D14" i="16"/>
  <c r="J13" i="16"/>
  <c r="B13" i="16"/>
  <c r="H12" i="16"/>
  <c r="N11" i="16"/>
  <c r="F11" i="16"/>
  <c r="L10" i="16"/>
  <c r="D10" i="16"/>
  <c r="J9" i="16"/>
  <c r="B9" i="16"/>
  <c r="H8" i="16"/>
  <c r="N7" i="16"/>
  <c r="K8" i="16"/>
  <c r="I7" i="16"/>
  <c r="A7" i="16"/>
  <c r="E8" i="16"/>
  <c r="F7" i="16"/>
  <c r="B24" i="1"/>
  <c r="A22" i="1"/>
  <c r="A20" i="1"/>
  <c r="A18" i="1"/>
  <c r="A16" i="1"/>
  <c r="A14" i="1"/>
  <c r="A12" i="1"/>
  <c r="A10" i="1"/>
  <c r="A8" i="1"/>
  <c r="A6" i="1"/>
  <c r="B4" i="1"/>
  <c r="H21" i="1"/>
  <c r="B15" i="1"/>
  <c r="B11" i="1"/>
  <c r="H7" i="1"/>
  <c r="G4" i="1"/>
  <c r="H22" i="1"/>
  <c r="B20" i="1"/>
  <c r="H17" i="1"/>
  <c r="H13" i="1"/>
  <c r="B9" i="1"/>
  <c r="A3" i="1"/>
  <c r="G22" i="1"/>
  <c r="G20" i="1"/>
  <c r="G18" i="1"/>
  <c r="G16" i="1"/>
  <c r="G14" i="1"/>
  <c r="G12" i="1"/>
  <c r="G10" i="1"/>
  <c r="G8" i="1"/>
  <c r="G6" i="1"/>
  <c r="H4" i="1"/>
  <c r="B3" i="1"/>
  <c r="B16" i="1"/>
  <c r="B12" i="1"/>
  <c r="H8" i="1"/>
  <c r="B5" i="1"/>
  <c r="B23" i="1"/>
  <c r="H20" i="1"/>
  <c r="H18" i="1"/>
  <c r="H14" i="1"/>
  <c r="B10" i="1"/>
  <c r="J4" i="1"/>
  <c r="L8" i="16"/>
  <c r="D8" i="16"/>
  <c r="J7" i="16"/>
  <c r="C8" i="16"/>
  <c r="E7" i="16"/>
  <c r="M8" i="16"/>
  <c r="K7" i="16"/>
  <c r="B7" i="16"/>
  <c r="A23" i="1"/>
  <c r="A21" i="1"/>
  <c r="A19" i="1"/>
  <c r="A17" i="1"/>
  <c r="A15" i="1"/>
  <c r="A13" i="1"/>
  <c r="A11" i="1"/>
  <c r="A9" i="1"/>
  <c r="A7" i="1"/>
  <c r="A5" i="1"/>
  <c r="G3" i="1"/>
  <c r="B17" i="1"/>
  <c r="B13" i="1"/>
  <c r="H9" i="1"/>
  <c r="H5" i="1"/>
  <c r="H23" i="1"/>
  <c r="B21" i="1"/>
  <c r="B19" i="1"/>
  <c r="H15" i="1"/>
  <c r="H11" i="1"/>
  <c r="B7" i="1"/>
  <c r="G23" i="1"/>
  <c r="G21" i="1"/>
  <c r="G19" i="1"/>
  <c r="G17" i="1"/>
  <c r="G15" i="1"/>
  <c r="G13" i="1"/>
  <c r="G11" i="1"/>
  <c r="G9" i="1"/>
  <c r="G7" i="1"/>
  <c r="G5" i="1"/>
  <c r="J3" i="1"/>
  <c r="B18" i="1"/>
  <c r="B14" i="1"/>
  <c r="H10" i="1"/>
  <c r="H6" i="1"/>
  <c r="H3" i="1"/>
  <c r="B22" i="1"/>
  <c r="H19" i="1"/>
  <c r="H16" i="1"/>
  <c r="H12" i="1"/>
  <c r="B8" i="1"/>
  <c r="A4" i="1"/>
  <c r="B6" i="1"/>
  <c r="C3" i="1" l="1"/>
</calcChain>
</file>

<file path=xl/sharedStrings.xml><?xml version="1.0" encoding="utf-8"?>
<sst xmlns="http://schemas.openxmlformats.org/spreadsheetml/2006/main" count="22" uniqueCount="22">
  <si>
    <t>KẾT QUẢ CẤP ĐỘ 1</t>
  </si>
  <si>
    <t>Số lượng</t>
  </si>
  <si>
    <t>Điểm trung bình</t>
  </si>
  <si>
    <t>UB NHÂN DÂN QUẬN BA ĐÌNH</t>
  </si>
  <si>
    <t>PHÒNG GIÁO DỤC VÀ ĐÀO TẠO</t>
  </si>
  <si>
    <t>Vòng sơ loại sự kiện: "Giờ lập trình" dành cho học sinh Tiểu học và THCS
  trên địa bàn quận Ba Đình năm học 2020-2021</t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</si>
  <si>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</si>
  <si>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STT</t>
  </si>
  <si>
    <t>Họ và tên</t>
  </si>
  <si>
    <t>Tài khoản</t>
  </si>
  <si>
    <t>Khối</t>
  </si>
  <si>
    <t>Lớp</t>
  </si>
  <si>
    <t>Trường</t>
  </si>
  <si>
    <t>Số câu sai</t>
  </si>
  <si>
    <t>Số câu đúng</t>
  </si>
  <si>
    <t>Tổng điểm</t>
  </si>
  <si>
    <t>Điểm tối đa</t>
  </si>
  <si>
    <t>Thời điểm nộp bài</t>
  </si>
  <si>
    <t>Thời gian làm bài (giây)</t>
  </si>
  <si>
    <t>Thời gian làm bài (phút)</t>
  </si>
  <si>
    <t>Vòng cấp trường</t>
  </si>
  <si>
    <t>TH Thành Công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</si>
</sst>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theme="1"/>
      <name val="Arial"/>
    </font>
    <font>
      <b/>
      <sz val="11"/>
      <color rgb="FF000000"/>
      <name val="Inconsolata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Calibri"/>
    </font>
    <font>
      <sz val="13"/>
      <color rgb="FF000000"/>
      <name val="&quot;Times New Roman&quot;"/>
    </font>
    <font>
      <b/>
      <sz val="13"/>
      <color rgb="FF000000"/>
      <name val="&quot;Times New Roman&quot;"/>
    </font>
    <font>
      <b/>
      <sz val="14"/>
      <color rgb="FF000000"/>
      <name val="Times New Roman"/>
    </font>
    <font>
      <b/>
      <u/>
      <sz val="1"/>
      <color theme="1"/>
      <name val="Calibri"/>
    </font>
    <font>
      <b/>
      <sz val="12"/>
      <color rgb="FF000000"/>
      <name val="Times New Roman"/>
    </font>
    <font>
      <sz val="12"/>
      <color theme="1"/>
      <name val="Times New Roman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2" fillId="3" borderId="0" xfId="0" applyFont="1" applyFill="1" applyAlignment="1"/>
    <xf numFmtId="0" fontId="0" fillId="0" borderId="0" xfId="0" applyFont="1" applyAlignment="1">
      <alignment horizontal="right"/>
    </xf>
    <xf numFmtId="164" fontId="0" fillId="0" borderId="0" xfId="0" applyNumberFormat="1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0" xfId="0" applyFont="1"/>
    <xf numFmtId="0" fontId="1" fillId="2" borderId="0" xfId="0" applyFont="1" applyFill="1" applyAlignment="1"/>
    <xf numFmtId="0" fontId="0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workbookViewId="0"/>
  </sheetViews>
  <sheetFormatPr defaultColWidth="12.625" defaultRowHeight="15" customHeight="1"/>
  <cols>
    <col min="1" max="1" width="19.25" customWidth="1"/>
    <col min="2" max="6" width="7.625" customWidth="1"/>
    <col min="7" max="7" width="19.25" customWidth="1"/>
    <col min="8" max="26" width="7.625" customWidth="1"/>
  </cols>
  <sheetData>
    <row r="1" spans="1:10">
      <c r="A1" s="1" t="s">
        <v>0</v>
      </c>
      <c r="B1" s="2"/>
      <c r="C1" s="2"/>
      <c r="D1" s="3"/>
      <c r="E1" s="3"/>
      <c r="F1" s="3"/>
      <c r="G1" s="4"/>
      <c r="H1" s="4"/>
    </row>
    <row r="2" spans="1:10">
      <c r="A2" s="20" t="s">
        <v>1</v>
      </c>
      <c r="B2" s="21"/>
      <c r="C2" s="21"/>
      <c r="D2" s="3"/>
      <c r="E2" s="3"/>
      <c r="F2" s="3"/>
      <c r="G2" s="22" t="s">
        <v>2</v>
      </c>
      <c r="H2" s="21"/>
    </row>
    <row r="3" spans="1:10">
      <c r="A3" s="5" t="str">
        <f ca="1">IFERROR(__xludf.DUMMYFUNCTION("sort(QUERY(All!A7:O5007,""select F, count(F) group by F ""),1, TRUE)"),"")</f>
        <v/>
      </c>
      <c r="B3" s="3" t="str">
        <f ca="1">IFERROR(__xludf.DUMMYFUNCTION("""COMPUTED_VALUE"""),"count ")</f>
        <v xml:space="preserve">count </v>
      </c>
      <c r="C3" s="6">
        <f ca="1">SUM(B4:B25)</f>
        <v>625</v>
      </c>
      <c r="D3" s="3"/>
      <c r="E3" s="3"/>
      <c r="F3" s="3"/>
      <c r="G3" s="5" t="str">
        <f ca="1">IFERROR(__xludf.DUMMYFUNCTION("sort(QUERY(All!A7:O5007,""select F, avg(I) group by F""), 1, TRUE)"),"")</f>
        <v/>
      </c>
      <c r="H3" s="7" t="str">
        <f ca="1">IFERROR(__xludf.DUMMYFUNCTION("""COMPUTED_VALUE"""),"avg ")</f>
        <v xml:space="preserve">avg </v>
      </c>
      <c r="J3" s="8" t="str">
        <f ca="1">IFERROR(__xludf.DUMMYFUNCTION("QUERY(All!A7:O2007,""select avg(I)"")"),"avg ")</f>
        <v xml:space="preserve">avg </v>
      </c>
    </row>
    <row r="4" spans="1:10">
      <c r="A4" s="8" t="str">
        <f ca="1">IFERROR(__xludf.DUMMYFUNCTION("""COMPUTED_VALUE"""),"TH Ba Đình")</f>
        <v>TH Ba Đình</v>
      </c>
      <c r="B4" s="8">
        <f ca="1">IFERROR(__xludf.DUMMYFUNCTION("""COMPUTED_VALUE"""),23)</f>
        <v>23</v>
      </c>
      <c r="G4" s="8" t="str">
        <f ca="1">IFERROR(__xludf.DUMMYFUNCTION("""COMPUTED_VALUE"""),"TH Ba Đình")</f>
        <v>TH Ba Đình</v>
      </c>
      <c r="H4" s="8">
        <f ca="1">IFERROR(__xludf.DUMMYFUNCTION("""COMPUTED_VALUE"""),56.7391304347826)</f>
        <v>56.739130434782602</v>
      </c>
      <c r="J4" s="8">
        <f ca="1">IFERROR(__xludf.DUMMYFUNCTION("""COMPUTED_VALUE"""),65.336)</f>
        <v>65.335999999999999</v>
      </c>
    </row>
    <row r="5" spans="1:10">
      <c r="A5" s="8" t="str">
        <f ca="1">IFERROR(__xludf.DUMMYFUNCTION("""COMPUTED_VALUE"""),"TH Đại Yên")</f>
        <v>TH Đại Yên</v>
      </c>
      <c r="B5" s="8">
        <f ca="1">IFERROR(__xludf.DUMMYFUNCTION("""COMPUTED_VALUE"""),35)</f>
        <v>35</v>
      </c>
      <c r="G5" s="8" t="str">
        <f ca="1">IFERROR(__xludf.DUMMYFUNCTION("""COMPUTED_VALUE"""),"TH Đại Yên")</f>
        <v>TH Đại Yên</v>
      </c>
      <c r="H5" s="8">
        <f ca="1">IFERROR(__xludf.DUMMYFUNCTION("""COMPUTED_VALUE"""),69.2857142857142)</f>
        <v>69.285714285714207</v>
      </c>
    </row>
    <row r="6" spans="1:10">
      <c r="A6" s="8" t="str">
        <f ca="1">IFERROR(__xludf.DUMMYFUNCTION("""COMPUTED_VALUE"""),"TH Hà Nội")</f>
        <v>TH Hà Nội</v>
      </c>
      <c r="B6" s="8">
        <f ca="1">IFERROR(__xludf.DUMMYFUNCTION("""COMPUTED_VALUE"""),10)</f>
        <v>10</v>
      </c>
      <c r="G6" s="8" t="str">
        <f ca="1">IFERROR(__xludf.DUMMYFUNCTION("""COMPUTED_VALUE"""),"TH Hà Nội")</f>
        <v>TH Hà Nội</v>
      </c>
      <c r="H6" s="8">
        <f ca="1">IFERROR(__xludf.DUMMYFUNCTION("""COMPUTED_VALUE"""),59)</f>
        <v>59</v>
      </c>
    </row>
    <row r="7" spans="1:10">
      <c r="A7" s="8" t="str">
        <f ca="1">IFERROR(__xludf.DUMMYFUNCTION("""COMPUTED_VALUE"""),"TH Hoàng Diệu")</f>
        <v>TH Hoàng Diệu</v>
      </c>
      <c r="B7" s="8">
        <f ca="1">IFERROR(__xludf.DUMMYFUNCTION("""COMPUTED_VALUE"""),68)</f>
        <v>68</v>
      </c>
      <c r="G7" s="8" t="str">
        <f ca="1">IFERROR(__xludf.DUMMYFUNCTION("""COMPUTED_VALUE"""),"TH Hoàng Diệu")</f>
        <v>TH Hoàng Diệu</v>
      </c>
      <c r="H7" s="8">
        <f ca="1">IFERROR(__xludf.DUMMYFUNCTION("""COMPUTED_VALUE"""),70.0735294117647)</f>
        <v>70.073529411764696</v>
      </c>
    </row>
    <row r="8" spans="1:10">
      <c r="A8" s="8" t="str">
        <f ca="1">IFERROR(__xludf.DUMMYFUNCTION("""COMPUTED_VALUE"""),"TH Hoàng Hoa Thám")</f>
        <v>TH Hoàng Hoa Thám</v>
      </c>
      <c r="B8" s="8">
        <f ca="1">IFERROR(__xludf.DUMMYFUNCTION("""COMPUTED_VALUE"""),34)</f>
        <v>34</v>
      </c>
      <c r="G8" s="8" t="str">
        <f ca="1">IFERROR(__xludf.DUMMYFUNCTION("""COMPUTED_VALUE"""),"TH Hoàng Hoa Thám")</f>
        <v>TH Hoàng Hoa Thám</v>
      </c>
      <c r="H8" s="8">
        <f ca="1">IFERROR(__xludf.DUMMYFUNCTION("""COMPUTED_VALUE"""),59.4117647058823)</f>
        <v>59.411764705882298</v>
      </c>
    </row>
    <row r="9" spans="1:10">
      <c r="A9" s="8" t="str">
        <f ca="1">IFERROR(__xludf.DUMMYFUNCTION("""COMPUTED_VALUE"""),"TH Kim Đồng")</f>
        <v>TH Kim Đồng</v>
      </c>
      <c r="B9" s="8">
        <f ca="1">IFERROR(__xludf.DUMMYFUNCTION("""COMPUTED_VALUE"""),126)</f>
        <v>126</v>
      </c>
      <c r="G9" s="8" t="str">
        <f ca="1">IFERROR(__xludf.DUMMYFUNCTION("""COMPUTED_VALUE"""),"TH Kim Đồng")</f>
        <v>TH Kim Đồng</v>
      </c>
      <c r="H9" s="8">
        <f ca="1">IFERROR(__xludf.DUMMYFUNCTION("""COMPUTED_VALUE"""),64.2460317460317)</f>
        <v>64.246031746031704</v>
      </c>
    </row>
    <row r="10" spans="1:10">
      <c r="A10" s="8" t="str">
        <f ca="1">IFERROR(__xludf.DUMMYFUNCTION("""COMPUTED_VALUE"""),"TH Nghĩa Dũng")</f>
        <v>TH Nghĩa Dũng</v>
      </c>
      <c r="B10" s="8">
        <f ca="1">IFERROR(__xludf.DUMMYFUNCTION("""COMPUTED_VALUE"""),5)</f>
        <v>5</v>
      </c>
      <c r="G10" s="8" t="str">
        <f ca="1">IFERROR(__xludf.DUMMYFUNCTION("""COMPUTED_VALUE"""),"TH Nghĩa Dũng")</f>
        <v>TH Nghĩa Dũng</v>
      </c>
      <c r="H10" s="8">
        <f ca="1">IFERROR(__xludf.DUMMYFUNCTION("""COMPUTED_VALUE"""),53)</f>
        <v>53</v>
      </c>
    </row>
    <row r="11" spans="1:10">
      <c r="A11" s="8" t="str">
        <f ca="1">IFERROR(__xludf.DUMMYFUNCTION("""COMPUTED_VALUE"""),"TH Ngọc Hà")</f>
        <v>TH Ngọc Hà</v>
      </c>
      <c r="B11" s="8">
        <f ca="1">IFERROR(__xludf.DUMMYFUNCTION("""COMPUTED_VALUE"""),28)</f>
        <v>28</v>
      </c>
      <c r="G11" s="8" t="str">
        <f ca="1">IFERROR(__xludf.DUMMYFUNCTION("""COMPUTED_VALUE"""),"TH Ngọc Hà")</f>
        <v>TH Ngọc Hà</v>
      </c>
      <c r="H11" s="8">
        <f ca="1">IFERROR(__xludf.DUMMYFUNCTION("""COMPUTED_VALUE"""),64.1071428571428)</f>
        <v>64.107142857142804</v>
      </c>
    </row>
    <row r="12" spans="1:10">
      <c r="A12" s="8" t="str">
        <f ca="1">IFERROR(__xludf.DUMMYFUNCTION("""COMPUTED_VALUE"""),"TH Ngọc Khánh")</f>
        <v>TH Ngọc Khánh</v>
      </c>
      <c r="B12" s="8">
        <f ca="1">IFERROR(__xludf.DUMMYFUNCTION("""COMPUTED_VALUE"""),59)</f>
        <v>59</v>
      </c>
      <c r="G12" s="8" t="str">
        <f ca="1">IFERROR(__xludf.DUMMYFUNCTION("""COMPUTED_VALUE"""),"TH Ngọc Khánh")</f>
        <v>TH Ngọc Khánh</v>
      </c>
      <c r="H12" s="8">
        <f ca="1">IFERROR(__xludf.DUMMYFUNCTION("""COMPUTED_VALUE"""),57.6271186440678)</f>
        <v>57.627118644067799</v>
      </c>
    </row>
    <row r="13" spans="1:10">
      <c r="A13" s="8" t="str">
        <f ca="1">IFERROR(__xludf.DUMMYFUNCTION("""COMPUTED_VALUE"""),"TH Nguyễn Bá Ngọc")</f>
        <v>TH Nguyễn Bá Ngọc</v>
      </c>
      <c r="B13" s="8">
        <f ca="1">IFERROR(__xludf.DUMMYFUNCTION("""COMPUTED_VALUE"""),6)</f>
        <v>6</v>
      </c>
      <c r="G13" s="8" t="str">
        <f ca="1">IFERROR(__xludf.DUMMYFUNCTION("""COMPUTED_VALUE"""),"TH Nguyễn Bá Ngọc")</f>
        <v>TH Nguyễn Bá Ngọc</v>
      </c>
      <c r="H13" s="8">
        <f ca="1">IFERROR(__xludf.DUMMYFUNCTION("""COMPUTED_VALUE"""),80.8333333333333)</f>
        <v>80.8333333333333</v>
      </c>
    </row>
    <row r="14" spans="1:10">
      <c r="A14" s="8" t="str">
        <f ca="1">IFERROR(__xludf.DUMMYFUNCTION("""COMPUTED_VALUE"""),"TH Nguyễn Tri Phương")</f>
        <v>TH Nguyễn Tri Phương</v>
      </c>
      <c r="B14" s="8">
        <f ca="1">IFERROR(__xludf.DUMMYFUNCTION("""COMPUTED_VALUE"""),27)</f>
        <v>27</v>
      </c>
      <c r="G14" s="8" t="str">
        <f ca="1">IFERROR(__xludf.DUMMYFUNCTION("""COMPUTED_VALUE"""),"TH Nguyễn Tri Phương")</f>
        <v>TH Nguyễn Tri Phương</v>
      </c>
      <c r="H14" s="8">
        <f ca="1">IFERROR(__xludf.DUMMYFUNCTION("""COMPUTED_VALUE"""),77.5925925925926)</f>
        <v>77.592592592592595</v>
      </c>
    </row>
    <row r="15" spans="1:10">
      <c r="A15" s="8" t="str">
        <f ca="1">IFERROR(__xludf.DUMMYFUNCTION("""COMPUTED_VALUE"""),"TH Nguyễn Trung Trực")</f>
        <v>TH Nguyễn Trung Trực</v>
      </c>
      <c r="B15" s="8">
        <f ca="1">IFERROR(__xludf.DUMMYFUNCTION("""COMPUTED_VALUE"""),11)</f>
        <v>11</v>
      </c>
      <c r="G15" s="8" t="str">
        <f ca="1">IFERROR(__xludf.DUMMYFUNCTION("""COMPUTED_VALUE"""),"TH Nguyễn Trung Trực")</f>
        <v>TH Nguyễn Trung Trực</v>
      </c>
      <c r="H15" s="8">
        <f ca="1">IFERROR(__xludf.DUMMYFUNCTION("""COMPUTED_VALUE"""),73.1818181818181)</f>
        <v>73.181818181818102</v>
      </c>
    </row>
    <row r="16" spans="1:10">
      <c r="A16" s="8" t="str">
        <f ca="1">IFERROR(__xludf.DUMMYFUNCTION("""COMPUTED_VALUE"""),"TH Phan Chu Trinh")</f>
        <v>TH Phan Chu Trinh</v>
      </c>
      <c r="B16" s="8">
        <f ca="1">IFERROR(__xludf.DUMMYFUNCTION("""COMPUTED_VALUE"""),34)</f>
        <v>34</v>
      </c>
      <c r="G16" s="8" t="str">
        <f ca="1">IFERROR(__xludf.DUMMYFUNCTION("""COMPUTED_VALUE"""),"TH Phan Chu Trinh")</f>
        <v>TH Phan Chu Trinh</v>
      </c>
      <c r="H16" s="8">
        <f ca="1">IFERROR(__xludf.DUMMYFUNCTION("""COMPUTED_VALUE"""),67.6470588235294)</f>
        <v>67.647058823529406</v>
      </c>
    </row>
    <row r="17" spans="1:8">
      <c r="A17" s="8" t="str">
        <f ca="1">IFERROR(__xludf.DUMMYFUNCTION("""COMPUTED_VALUE"""),"TH Thành Công A")</f>
        <v>TH Thành Công A</v>
      </c>
      <c r="B17" s="8">
        <f ca="1">IFERROR(__xludf.DUMMYFUNCTION("""COMPUTED_VALUE"""),20)</f>
        <v>20</v>
      </c>
      <c r="G17" s="8" t="str">
        <f ca="1">IFERROR(__xludf.DUMMYFUNCTION("""COMPUTED_VALUE"""),"TH Thành Công A")</f>
        <v>TH Thành Công A</v>
      </c>
      <c r="H17" s="8">
        <f ca="1">IFERROR(__xludf.DUMMYFUNCTION("""COMPUTED_VALUE"""),66)</f>
        <v>66</v>
      </c>
    </row>
    <row r="18" spans="1:8">
      <c r="A18" s="8" t="str">
        <f ca="1">IFERROR(__xludf.DUMMYFUNCTION("""COMPUTED_VALUE"""),"TH Thành Công B")</f>
        <v>TH Thành Công B</v>
      </c>
      <c r="B18" s="8">
        <f ca="1">IFERROR(__xludf.DUMMYFUNCTION("""COMPUTED_VALUE"""),33)</f>
        <v>33</v>
      </c>
      <c r="G18" s="8" t="str">
        <f ca="1">IFERROR(__xludf.DUMMYFUNCTION("""COMPUTED_VALUE"""),"TH Thành Công B")</f>
        <v>TH Thành Công B</v>
      </c>
      <c r="H18" s="8">
        <f ca="1">IFERROR(__xludf.DUMMYFUNCTION("""COMPUTED_VALUE"""),55.3030303030303)</f>
        <v>55.303030303030297</v>
      </c>
    </row>
    <row r="19" spans="1:8">
      <c r="A19" s="8" t="str">
        <f ca="1">IFERROR(__xludf.DUMMYFUNCTION("""COMPUTED_VALUE"""),"TH Thủ Lệ")</f>
        <v>TH Thủ Lệ</v>
      </c>
      <c r="B19" s="8">
        <f ca="1">IFERROR(__xludf.DUMMYFUNCTION("""COMPUTED_VALUE"""),16)</f>
        <v>16</v>
      </c>
      <c r="G19" s="8" t="str">
        <f ca="1">IFERROR(__xludf.DUMMYFUNCTION("""COMPUTED_VALUE"""),"TH Thủ Lệ")</f>
        <v>TH Thủ Lệ</v>
      </c>
      <c r="H19" s="8">
        <f ca="1">IFERROR(__xludf.DUMMYFUNCTION("""COMPUTED_VALUE"""),73.4375)</f>
        <v>73.4375</v>
      </c>
    </row>
    <row r="20" spans="1:8">
      <c r="A20" s="8" t="str">
        <f ca="1">IFERROR(__xludf.DUMMYFUNCTION("""COMPUTED_VALUE"""),"TH Thực Nghiệm")</f>
        <v>TH Thực Nghiệm</v>
      </c>
      <c r="B20" s="8">
        <f ca="1">IFERROR(__xludf.DUMMYFUNCTION("""COMPUTED_VALUE"""),13)</f>
        <v>13</v>
      </c>
      <c r="G20" s="8" t="str">
        <f ca="1">IFERROR(__xludf.DUMMYFUNCTION("""COMPUTED_VALUE"""),"TH Thực Nghiệm")</f>
        <v>TH Thực Nghiệm</v>
      </c>
      <c r="H20" s="8">
        <f ca="1">IFERROR(__xludf.DUMMYFUNCTION("""COMPUTED_VALUE"""),75.7692307692307)</f>
        <v>75.769230769230703</v>
      </c>
    </row>
    <row r="21" spans="1:8">
      <c r="A21" s="8" t="str">
        <f ca="1">IFERROR(__xludf.DUMMYFUNCTION("""COMPUTED_VALUE"""),"TH Vạn Phúc")</f>
        <v>TH Vạn Phúc</v>
      </c>
      <c r="B21" s="8">
        <f ca="1">IFERROR(__xludf.DUMMYFUNCTION("""COMPUTED_VALUE"""),2)</f>
        <v>2</v>
      </c>
      <c r="G21" s="8" t="str">
        <f ca="1">IFERROR(__xludf.DUMMYFUNCTION("""COMPUTED_VALUE"""),"TH Vạn Phúc")</f>
        <v>TH Vạn Phúc</v>
      </c>
      <c r="H21" s="8">
        <f ca="1">IFERROR(__xludf.DUMMYFUNCTION("""COMPUTED_VALUE"""),30)</f>
        <v>30</v>
      </c>
    </row>
    <row r="22" spans="1:8" ht="15.75" customHeight="1">
      <c r="A22" s="8" t="str">
        <f ca="1">IFERROR(__xludf.DUMMYFUNCTION("""COMPUTED_VALUE"""),"TH Việt Nam - Cu Ba")</f>
        <v>TH Việt Nam - Cu Ba</v>
      </c>
      <c r="B22" s="8">
        <f ca="1">IFERROR(__xludf.DUMMYFUNCTION("""COMPUTED_VALUE"""),65)</f>
        <v>65</v>
      </c>
      <c r="G22" s="8" t="str">
        <f ca="1">IFERROR(__xludf.DUMMYFUNCTION("""COMPUTED_VALUE"""),"TH Việt Nam - Cu Ba")</f>
        <v>TH Việt Nam - Cu Ba</v>
      </c>
      <c r="H22" s="8">
        <f ca="1">IFERROR(__xludf.DUMMYFUNCTION("""COMPUTED_VALUE"""),66.7692307692307)</f>
        <v>66.769230769230703</v>
      </c>
    </row>
    <row r="23" spans="1:8" ht="15.75" customHeight="1">
      <c r="A23" s="8" t="str">
        <f ca="1">IFERROR(__xludf.DUMMYFUNCTION("""COMPUTED_VALUE"""),"TH Vinschool Metropolis")</f>
        <v>TH Vinschool Metropolis</v>
      </c>
      <c r="B23" s="8">
        <f ca="1">IFERROR(__xludf.DUMMYFUNCTION("""COMPUTED_VALUE"""),10)</f>
        <v>10</v>
      </c>
      <c r="G23" s="8" t="str">
        <f ca="1">IFERROR(__xludf.DUMMYFUNCTION("""COMPUTED_VALUE"""),"TH Vinschool Metropolis")</f>
        <v>TH Vinschool Metropolis</v>
      </c>
      <c r="H23" s="8">
        <f ca="1">IFERROR(__xludf.DUMMYFUNCTION("""COMPUTED_VALUE"""),78.5)</f>
        <v>78.5</v>
      </c>
    </row>
    <row r="24" spans="1:8" ht="15.75" customHeight="1">
      <c r="A24" s="8"/>
      <c r="B24" s="8">
        <f ca="1">IFERROR(__xludf.DUMMYFUNCTION("""COMPUTED_VALUE"""),0)</f>
        <v>0</v>
      </c>
      <c r="G24" s="8"/>
      <c r="H24" s="8"/>
    </row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C2"/>
    <mergeCell ref="G2:H2"/>
  </mergeCells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7"/>
  <sheetViews>
    <sheetView tabSelected="1" workbookViewId="0">
      <selection activeCell="D29" sqref="D29"/>
    </sheetView>
  </sheetViews>
  <sheetFormatPr defaultColWidth="12.625" defaultRowHeight="15" customHeight="1"/>
  <cols>
    <col min="1" max="1" width="5.625" customWidth="1"/>
    <col min="2" max="2" width="21.875" customWidth="1"/>
    <col min="3" max="3" width="17.25" customWidth="1"/>
    <col min="4" max="4" width="5.25" customWidth="1"/>
    <col min="5" max="5" width="5.5" customWidth="1"/>
    <col min="6" max="6" width="21.5" customWidth="1"/>
    <col min="7" max="7" width="7.125" customWidth="1"/>
    <col min="8" max="8" width="7.875" customWidth="1"/>
    <col min="9" max="9" width="7" customWidth="1"/>
    <col min="10" max="10" width="7.5" customWidth="1"/>
    <col min="11" max="11" width="16.875" hidden="1" customWidth="1"/>
    <col min="12" max="12" width="7.5" hidden="1" customWidth="1"/>
    <col min="13" max="13" width="12.875" customWidth="1"/>
    <col min="14" max="14" width="10.125" customWidth="1"/>
    <col min="15" max="37" width="7.625" customWidth="1"/>
  </cols>
  <sheetData>
    <row r="1" spans="1:16" ht="15.75" customHeight="1">
      <c r="A1" s="26" t="s">
        <v>3</v>
      </c>
      <c r="B1" s="21"/>
      <c r="C1" s="21"/>
      <c r="D1" s="9"/>
      <c r="E1" s="9"/>
      <c r="F1" s="10"/>
      <c r="G1" s="10"/>
      <c r="H1" s="10"/>
      <c r="I1" s="10"/>
      <c r="J1" s="10"/>
      <c r="K1" s="11"/>
      <c r="L1" s="11"/>
    </row>
    <row r="2" spans="1:16" ht="15.75" customHeight="1">
      <c r="A2" s="27" t="s">
        <v>4</v>
      </c>
      <c r="B2" s="21"/>
      <c r="C2" s="21"/>
      <c r="D2" s="9"/>
      <c r="E2" s="9"/>
      <c r="F2" s="10"/>
      <c r="G2" s="10"/>
      <c r="H2" s="10"/>
      <c r="I2" s="10"/>
      <c r="J2" s="10"/>
      <c r="K2" s="11"/>
      <c r="L2" s="11"/>
    </row>
    <row r="3" spans="1:16" ht="15.75" customHeight="1">
      <c r="A3" s="23" t="str">
        <f>Count!A1</f>
        <v>KẾT QUẢ CẤP ĐỘ 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2"/>
    </row>
    <row r="4" spans="1:16" ht="15.75" customHeight="1">
      <c r="A4" s="24" t="s">
        <v>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6" ht="14.25">
      <c r="A5" s="25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ht="63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13" t="s">
        <v>16</v>
      </c>
      <c r="K6" s="13" t="s">
        <v>17</v>
      </c>
      <c r="L6" s="13" t="s">
        <v>18</v>
      </c>
      <c r="M6" s="14" t="s">
        <v>19</v>
      </c>
      <c r="N6" s="14" t="s">
        <v>20</v>
      </c>
      <c r="O6" s="19"/>
      <c r="P6" s="19" t="s">
        <v>21</v>
      </c>
    </row>
    <row r="7" spans="1:16" ht="15.75">
      <c r="A7" s="15">
        <f ca="1">IFERROR(__xludf.DUMMYFUNCTION("QUERY(All!A7:N631,""select * where F='""&amp; P6 &amp;""'"")"),51)</f>
        <v>51</v>
      </c>
      <c r="B7" s="15" t="str">
        <f ca="1">IFERROR(__xludf.DUMMYFUNCTION("""COMPUTED_VALUE"""),"Vũ Anh Duy")</f>
        <v>Vũ Anh Duy</v>
      </c>
      <c r="C7" s="15" t="str">
        <f ca="1">IFERROR(__xludf.DUMMYFUNCTION("""COMPUTED_VALUE"""),"s1-15482")</f>
        <v>s1-15482</v>
      </c>
      <c r="D7" s="15">
        <f ca="1">IFERROR(__xludf.DUMMYFUNCTION("""COMPUTED_VALUE"""),3)</f>
        <v>3</v>
      </c>
      <c r="E7" s="15" t="str">
        <f ca="1">IFERROR(__xludf.DUMMYFUNCTION("""COMPUTED_VALUE"""),"3A5")</f>
        <v>3A5</v>
      </c>
      <c r="F7" s="15" t="str">
        <f ca="1">IFERROR(__xludf.DUMMYFUNCTION("""COMPUTED_VALUE"""),"TH Thành Công A")</f>
        <v>TH Thành Công A</v>
      </c>
      <c r="G7" s="15">
        <f ca="1">IFERROR(__xludf.DUMMYFUNCTION("""COMPUTED_VALUE"""),1)</f>
        <v>1</v>
      </c>
      <c r="H7" s="15">
        <f ca="1">IFERROR(__xludf.DUMMYFUNCTION("""COMPUTED_VALUE"""),19)</f>
        <v>19</v>
      </c>
      <c r="I7" s="15">
        <f ca="1">IFERROR(__xludf.DUMMYFUNCTION("""COMPUTED_VALUE"""),95)</f>
        <v>95</v>
      </c>
      <c r="J7" s="15">
        <f ca="1">IFERROR(__xludf.DUMMYFUNCTION("""COMPUTED_VALUE"""),100)</f>
        <v>100</v>
      </c>
      <c r="K7" s="15" t="str">
        <f ca="1">IFERROR(__xludf.DUMMYFUNCTION("""COMPUTED_VALUE"""),"27/02/2021 20:22:48")</f>
        <v>27/02/2021 20:22:48</v>
      </c>
      <c r="L7" s="15">
        <f ca="1">IFERROR(__xludf.DUMMYFUNCTION("""COMPUTED_VALUE"""),1364)</f>
        <v>1364</v>
      </c>
      <c r="M7" s="16">
        <f ca="1">IFERROR(__xludf.DUMMYFUNCTION("""COMPUTED_VALUE"""),22.7333333333333)</f>
        <v>22.733333333333299</v>
      </c>
      <c r="N7" s="17" t="str">
        <f ca="1">IFERROR(__xludf.DUMMYFUNCTION("""COMPUTED_VALUE"""),"✓")</f>
        <v>✓</v>
      </c>
    </row>
    <row r="8" spans="1:16" ht="15.75">
      <c r="A8" s="15">
        <f ca="1">IFERROR(__xludf.DUMMYFUNCTION("""COMPUTED_VALUE"""),79)</f>
        <v>79</v>
      </c>
      <c r="B8" s="15" t="str">
        <f ca="1">IFERROR(__xludf.DUMMYFUNCTION("""COMPUTED_VALUE"""),"Đặng Vũ Minh Tiến")</f>
        <v>Đặng Vũ Minh Tiến</v>
      </c>
      <c r="C8" s="15" t="str">
        <f ca="1">IFERROR(__xludf.DUMMYFUNCTION("""COMPUTED_VALUE"""),"s1-15461")</f>
        <v>s1-15461</v>
      </c>
      <c r="D8" s="15">
        <f ca="1">IFERROR(__xludf.DUMMYFUNCTION("""COMPUTED_VALUE"""),1)</f>
        <v>1</v>
      </c>
      <c r="E8" s="15" t="str">
        <f ca="1">IFERROR(__xludf.DUMMYFUNCTION("""COMPUTED_VALUE"""),"1A6")</f>
        <v>1A6</v>
      </c>
      <c r="F8" s="15" t="str">
        <f ca="1">IFERROR(__xludf.DUMMYFUNCTION("""COMPUTED_VALUE"""),"TH Thành Công A")</f>
        <v>TH Thành Công A</v>
      </c>
      <c r="G8" s="15">
        <f ca="1">IFERROR(__xludf.DUMMYFUNCTION("""COMPUTED_VALUE"""),1)</f>
        <v>1</v>
      </c>
      <c r="H8" s="15">
        <f ca="1">IFERROR(__xludf.DUMMYFUNCTION("""COMPUTED_VALUE"""),19)</f>
        <v>19</v>
      </c>
      <c r="I8" s="15">
        <f ca="1">IFERROR(__xludf.DUMMYFUNCTION("""COMPUTED_VALUE"""),95)</f>
        <v>95</v>
      </c>
      <c r="J8" s="15">
        <f ca="1">IFERROR(__xludf.DUMMYFUNCTION("""COMPUTED_VALUE"""),100)</f>
        <v>100</v>
      </c>
      <c r="K8" s="15" t="str">
        <f ca="1">IFERROR(__xludf.DUMMYFUNCTION("""COMPUTED_VALUE"""),"27/02/2021 20:46:05")</f>
        <v>27/02/2021 20:46:05</v>
      </c>
      <c r="L8" s="15">
        <f ca="1">IFERROR(__xludf.DUMMYFUNCTION("""COMPUTED_VALUE"""),2762)</f>
        <v>2762</v>
      </c>
      <c r="M8" s="16">
        <f ca="1">IFERROR(__xludf.DUMMYFUNCTION("""COMPUTED_VALUE"""),46.0333333333333)</f>
        <v>46.033333333333303</v>
      </c>
      <c r="N8" s="17" t="str">
        <f ca="1">IFERROR(__xludf.DUMMYFUNCTION("""COMPUTED_VALUE"""),"✓")</f>
        <v>✓</v>
      </c>
    </row>
    <row r="9" spans="1:16" ht="15.75">
      <c r="A9" s="15">
        <f ca="1">IFERROR(__xludf.DUMMYFUNCTION("""COMPUTED_VALUE"""),91)</f>
        <v>91</v>
      </c>
      <c r="B9" s="15" t="str">
        <f ca="1">IFERROR(__xludf.DUMMYFUNCTION("""COMPUTED_VALUE"""),"Phùng Hiền Minh")</f>
        <v>Phùng Hiền Minh</v>
      </c>
      <c r="C9" s="15" t="str">
        <f ca="1">IFERROR(__xludf.DUMMYFUNCTION("""COMPUTED_VALUE"""),"s1-16768")</f>
        <v>s1-16768</v>
      </c>
      <c r="D9" s="15">
        <f ca="1">IFERROR(__xludf.DUMMYFUNCTION("""COMPUTED_VALUE"""),3)</f>
        <v>3</v>
      </c>
      <c r="E9" s="15" t="str">
        <f ca="1">IFERROR(__xludf.DUMMYFUNCTION("""COMPUTED_VALUE"""),"3A6")</f>
        <v>3A6</v>
      </c>
      <c r="F9" s="15" t="str">
        <f ca="1">IFERROR(__xludf.DUMMYFUNCTION("""COMPUTED_VALUE"""),"TH Thành Công A")</f>
        <v>TH Thành Công A</v>
      </c>
      <c r="G9" s="15">
        <f ca="1">IFERROR(__xludf.DUMMYFUNCTION("""COMPUTED_VALUE"""),2)</f>
        <v>2</v>
      </c>
      <c r="H9" s="15">
        <f ca="1">IFERROR(__xludf.DUMMYFUNCTION("""COMPUTED_VALUE"""),18)</f>
        <v>18</v>
      </c>
      <c r="I9" s="15">
        <f ca="1">IFERROR(__xludf.DUMMYFUNCTION("""COMPUTED_VALUE"""),90)</f>
        <v>90</v>
      </c>
      <c r="J9" s="15">
        <f ca="1">IFERROR(__xludf.DUMMYFUNCTION("""COMPUTED_VALUE"""),100)</f>
        <v>100</v>
      </c>
      <c r="K9" s="15" t="str">
        <f ca="1">IFERROR(__xludf.DUMMYFUNCTION("""COMPUTED_VALUE"""),"27/02/2021 20:57:37")</f>
        <v>27/02/2021 20:57:37</v>
      </c>
      <c r="L9" s="15">
        <f ca="1">IFERROR(__xludf.DUMMYFUNCTION("""COMPUTED_VALUE"""),781)</f>
        <v>781</v>
      </c>
      <c r="M9" s="16">
        <f ca="1">IFERROR(__xludf.DUMMYFUNCTION("""COMPUTED_VALUE"""),13.0166666666666)</f>
        <v>13.0166666666666</v>
      </c>
      <c r="N9" s="17" t="str">
        <f ca="1">IFERROR(__xludf.DUMMYFUNCTION("""COMPUTED_VALUE"""),"✓")</f>
        <v>✓</v>
      </c>
    </row>
    <row r="10" spans="1:16" ht="15.75">
      <c r="A10" s="15">
        <f ca="1">IFERROR(__xludf.DUMMYFUNCTION("""COMPUTED_VALUE"""),150)</f>
        <v>150</v>
      </c>
      <c r="B10" s="15" t="str">
        <f ca="1">IFERROR(__xludf.DUMMYFUNCTION("""COMPUTED_VALUE"""),"Nguyễn Tuấn Sơn")</f>
        <v>Nguyễn Tuấn Sơn</v>
      </c>
      <c r="C10" s="15" t="str">
        <f ca="1">IFERROR(__xludf.DUMMYFUNCTION("""COMPUTED_VALUE"""),"s1-16704")</f>
        <v>s1-16704</v>
      </c>
      <c r="D10" s="15">
        <f ca="1">IFERROR(__xludf.DUMMYFUNCTION("""COMPUTED_VALUE"""),2)</f>
        <v>2</v>
      </c>
      <c r="E10" s="15" t="str">
        <f ca="1">IFERROR(__xludf.DUMMYFUNCTION("""COMPUTED_VALUE"""),"2A4")</f>
        <v>2A4</v>
      </c>
      <c r="F10" s="15" t="str">
        <f ca="1">IFERROR(__xludf.DUMMYFUNCTION("""COMPUTED_VALUE"""),"TH Thành Công A")</f>
        <v>TH Thành Công A</v>
      </c>
      <c r="G10" s="15">
        <f ca="1">IFERROR(__xludf.DUMMYFUNCTION("""COMPUTED_VALUE"""),2)</f>
        <v>2</v>
      </c>
      <c r="H10" s="15">
        <f ca="1">IFERROR(__xludf.DUMMYFUNCTION("""COMPUTED_VALUE"""),18)</f>
        <v>18</v>
      </c>
      <c r="I10" s="15">
        <f ca="1">IFERROR(__xludf.DUMMYFUNCTION("""COMPUTED_VALUE"""),90)</f>
        <v>90</v>
      </c>
      <c r="J10" s="15">
        <f ca="1">IFERROR(__xludf.DUMMYFUNCTION("""COMPUTED_VALUE"""),100)</f>
        <v>100</v>
      </c>
      <c r="K10" s="15" t="str">
        <f ca="1">IFERROR(__xludf.DUMMYFUNCTION("""COMPUTED_VALUE"""),"27/02/2021 21:12:18")</f>
        <v>27/02/2021 21:12:18</v>
      </c>
      <c r="L10" s="15">
        <f ca="1">IFERROR(__xludf.DUMMYFUNCTION("""COMPUTED_VALUE"""),3370)</f>
        <v>3370</v>
      </c>
      <c r="M10" s="16">
        <f ca="1">IFERROR(__xludf.DUMMYFUNCTION("""COMPUTED_VALUE"""),56.1666666666666)</f>
        <v>56.1666666666666</v>
      </c>
      <c r="N10" s="17" t="str">
        <f ca="1">IFERROR(__xludf.DUMMYFUNCTION("""COMPUTED_VALUE"""),"✓")</f>
        <v>✓</v>
      </c>
    </row>
    <row r="11" spans="1:16" ht="15.75">
      <c r="A11" s="15">
        <f ca="1">IFERROR(__xludf.DUMMYFUNCTION("""COMPUTED_VALUE"""),166)</f>
        <v>166</v>
      </c>
      <c r="B11" s="15" t="str">
        <f ca="1">IFERROR(__xludf.DUMMYFUNCTION("""COMPUTED_VALUE"""),"Nguyễn Vũ Lâm")</f>
        <v>Nguyễn Vũ Lâm</v>
      </c>
      <c r="C11" s="15" t="str">
        <f ca="1">IFERROR(__xludf.DUMMYFUNCTION("""COMPUTED_VALUE"""),"s1-15443")</f>
        <v>s1-15443</v>
      </c>
      <c r="D11" s="15">
        <f ca="1">IFERROR(__xludf.DUMMYFUNCTION("""COMPUTED_VALUE"""),1)</f>
        <v>1</v>
      </c>
      <c r="E11" s="15" t="str">
        <f ca="1">IFERROR(__xludf.DUMMYFUNCTION("""COMPUTED_VALUE"""),"1A4")</f>
        <v>1A4</v>
      </c>
      <c r="F11" s="15" t="str">
        <f ca="1">IFERROR(__xludf.DUMMYFUNCTION("""COMPUTED_VALUE"""),"TH Thành Công A")</f>
        <v>TH Thành Công A</v>
      </c>
      <c r="G11" s="15">
        <f ca="1">IFERROR(__xludf.DUMMYFUNCTION("""COMPUTED_VALUE"""),3)</f>
        <v>3</v>
      </c>
      <c r="H11" s="15">
        <f ca="1">IFERROR(__xludf.DUMMYFUNCTION("""COMPUTED_VALUE"""),17)</f>
        <v>17</v>
      </c>
      <c r="I11" s="15">
        <f ca="1">IFERROR(__xludf.DUMMYFUNCTION("""COMPUTED_VALUE"""),85)</f>
        <v>85</v>
      </c>
      <c r="J11" s="15">
        <f ca="1">IFERROR(__xludf.DUMMYFUNCTION("""COMPUTED_VALUE"""),100)</f>
        <v>100</v>
      </c>
      <c r="K11" s="15" t="str">
        <f ca="1">IFERROR(__xludf.DUMMYFUNCTION("""COMPUTED_VALUE"""),"27/02/2021 20:22:15")</f>
        <v>27/02/2021 20:22:15</v>
      </c>
      <c r="L11" s="15">
        <f ca="1">IFERROR(__xludf.DUMMYFUNCTION("""COMPUTED_VALUE"""),1331)</f>
        <v>1331</v>
      </c>
      <c r="M11" s="16">
        <f ca="1">IFERROR(__xludf.DUMMYFUNCTION("""COMPUTED_VALUE"""),22.1833333333333)</f>
        <v>22.183333333333302</v>
      </c>
      <c r="N11" s="17" t="str">
        <f ca="1">IFERROR(__xludf.DUMMYFUNCTION("""COMPUTED_VALUE"""),"✓")</f>
        <v>✓</v>
      </c>
    </row>
    <row r="12" spans="1:16" ht="15.75">
      <c r="A12" s="15">
        <f ca="1">IFERROR(__xludf.DUMMYFUNCTION("""COMPUTED_VALUE"""),167)</f>
        <v>167</v>
      </c>
      <c r="B12" s="15" t="str">
        <f ca="1">IFERROR(__xludf.DUMMYFUNCTION("""COMPUTED_VALUE"""),"Nguyễn Bình Nhi")</f>
        <v>Nguyễn Bình Nhi</v>
      </c>
      <c r="C12" s="15" t="str">
        <f ca="1">IFERROR(__xludf.DUMMYFUNCTION("""COMPUTED_VALUE"""),"s1-15441")</f>
        <v>s1-15441</v>
      </c>
      <c r="D12" s="15">
        <f ca="1">IFERROR(__xludf.DUMMYFUNCTION("""COMPUTED_VALUE"""),1)</f>
        <v>1</v>
      </c>
      <c r="E12" s="15" t="str">
        <f ca="1">IFERROR(__xludf.DUMMYFUNCTION("""COMPUTED_VALUE"""),"1A4")</f>
        <v>1A4</v>
      </c>
      <c r="F12" s="15" t="str">
        <f ca="1">IFERROR(__xludf.DUMMYFUNCTION("""COMPUTED_VALUE"""),"TH Thành Công A")</f>
        <v>TH Thành Công A</v>
      </c>
      <c r="G12" s="15">
        <f ca="1">IFERROR(__xludf.DUMMYFUNCTION("""COMPUTED_VALUE"""),3)</f>
        <v>3</v>
      </c>
      <c r="H12" s="15">
        <f ca="1">IFERROR(__xludf.DUMMYFUNCTION("""COMPUTED_VALUE"""),17)</f>
        <v>17</v>
      </c>
      <c r="I12" s="15">
        <f ca="1">IFERROR(__xludf.DUMMYFUNCTION("""COMPUTED_VALUE"""),85)</f>
        <v>85</v>
      </c>
      <c r="J12" s="15">
        <f ca="1">IFERROR(__xludf.DUMMYFUNCTION("""COMPUTED_VALUE"""),100)</f>
        <v>100</v>
      </c>
      <c r="K12" s="15" t="str">
        <f ca="1">IFERROR(__xludf.DUMMYFUNCTION("""COMPUTED_VALUE"""),"27/02/2021 20:22:16")</f>
        <v>27/02/2021 20:22:16</v>
      </c>
      <c r="L12" s="15">
        <f ca="1">IFERROR(__xludf.DUMMYFUNCTION("""COMPUTED_VALUE"""),1332)</f>
        <v>1332</v>
      </c>
      <c r="M12" s="16">
        <f ca="1">IFERROR(__xludf.DUMMYFUNCTION("""COMPUTED_VALUE"""),22.2)</f>
        <v>22.2</v>
      </c>
      <c r="N12" s="17" t="str">
        <f ca="1">IFERROR(__xludf.DUMMYFUNCTION("""COMPUTED_VALUE"""),"✓")</f>
        <v>✓</v>
      </c>
    </row>
    <row r="13" spans="1:16" ht="15.75">
      <c r="A13" s="15">
        <f ca="1">IFERROR(__xludf.DUMMYFUNCTION("""COMPUTED_VALUE"""),187)</f>
        <v>187</v>
      </c>
      <c r="B13" s="15" t="str">
        <f ca="1">IFERROR(__xludf.DUMMYFUNCTION("""COMPUTED_VALUE"""),"Nguyễn Việt Quỳnh Trâm")</f>
        <v>Nguyễn Việt Quỳnh Trâm</v>
      </c>
      <c r="C13" s="15" t="str">
        <f ca="1">IFERROR(__xludf.DUMMYFUNCTION("""COMPUTED_VALUE"""),"s1-15463")</f>
        <v>s1-15463</v>
      </c>
      <c r="D13" s="15">
        <f ca="1">IFERROR(__xludf.DUMMYFUNCTION("""COMPUTED_VALUE"""),3)</f>
        <v>3</v>
      </c>
      <c r="E13" s="15" t="str">
        <f ca="1">IFERROR(__xludf.DUMMYFUNCTION("""COMPUTED_VALUE"""),"3A1")</f>
        <v>3A1</v>
      </c>
      <c r="F13" s="15" t="str">
        <f ca="1">IFERROR(__xludf.DUMMYFUNCTION("""COMPUTED_VALUE"""),"TH Thành Công A")</f>
        <v>TH Thành Công A</v>
      </c>
      <c r="G13" s="15">
        <f ca="1">IFERROR(__xludf.DUMMYFUNCTION("""COMPUTED_VALUE"""),3)</f>
        <v>3</v>
      </c>
      <c r="H13" s="15">
        <f ca="1">IFERROR(__xludf.DUMMYFUNCTION("""COMPUTED_VALUE"""),17)</f>
        <v>17</v>
      </c>
      <c r="I13" s="15">
        <f ca="1">IFERROR(__xludf.DUMMYFUNCTION("""COMPUTED_VALUE"""),85)</f>
        <v>85</v>
      </c>
      <c r="J13" s="15">
        <f ca="1">IFERROR(__xludf.DUMMYFUNCTION("""COMPUTED_VALUE"""),100)</f>
        <v>100</v>
      </c>
      <c r="K13" s="15" t="str">
        <f ca="1">IFERROR(__xludf.DUMMYFUNCTION("""COMPUTED_VALUE"""),"27/02/2021 20:51:39")</f>
        <v>27/02/2021 20:51:39</v>
      </c>
      <c r="L13" s="15">
        <f ca="1">IFERROR(__xludf.DUMMYFUNCTION("""COMPUTED_VALUE"""),2162)</f>
        <v>2162</v>
      </c>
      <c r="M13" s="16">
        <f ca="1">IFERROR(__xludf.DUMMYFUNCTION("""COMPUTED_VALUE"""),36.0333333333333)</f>
        <v>36.033333333333303</v>
      </c>
      <c r="N13" s="17" t="str">
        <f ca="1">IFERROR(__xludf.DUMMYFUNCTION("""COMPUTED_VALUE"""),"✓")</f>
        <v>✓</v>
      </c>
    </row>
    <row r="14" spans="1:16" ht="15.75">
      <c r="A14" s="15">
        <f ca="1">IFERROR(__xludf.DUMMYFUNCTION("""COMPUTED_VALUE"""),219)</f>
        <v>219</v>
      </c>
      <c r="B14" s="15" t="str">
        <f ca="1">IFERROR(__xludf.DUMMYFUNCTION("""COMPUTED_VALUE"""),"Nguyễn Minh Phương")</f>
        <v>Nguyễn Minh Phương</v>
      </c>
      <c r="C14" s="15" t="str">
        <f ca="1">IFERROR(__xludf.DUMMYFUNCTION("""COMPUTED_VALUE"""),"s1-15480")</f>
        <v>s1-15480</v>
      </c>
      <c r="D14" s="15">
        <f ca="1">IFERROR(__xludf.DUMMYFUNCTION("""COMPUTED_VALUE"""),3)</f>
        <v>3</v>
      </c>
      <c r="E14" s="15" t="str">
        <f ca="1">IFERROR(__xludf.DUMMYFUNCTION("""COMPUTED_VALUE"""),"3A2")</f>
        <v>3A2</v>
      </c>
      <c r="F14" s="15" t="str">
        <f ca="1">IFERROR(__xludf.DUMMYFUNCTION("""COMPUTED_VALUE"""),"TH Thành Công A")</f>
        <v>TH Thành Công A</v>
      </c>
      <c r="G14" s="15">
        <f ca="1">IFERROR(__xludf.DUMMYFUNCTION("""COMPUTED_VALUE"""),4)</f>
        <v>4</v>
      </c>
      <c r="H14" s="15">
        <f ca="1">IFERROR(__xludf.DUMMYFUNCTION("""COMPUTED_VALUE"""),16)</f>
        <v>16</v>
      </c>
      <c r="I14" s="15">
        <f ca="1">IFERROR(__xludf.DUMMYFUNCTION("""COMPUTED_VALUE"""),80)</f>
        <v>80</v>
      </c>
      <c r="J14" s="15">
        <f ca="1">IFERROR(__xludf.DUMMYFUNCTION("""COMPUTED_VALUE"""),100)</f>
        <v>100</v>
      </c>
      <c r="K14" s="15" t="str">
        <f ca="1">IFERROR(__xludf.DUMMYFUNCTION("""COMPUTED_VALUE"""),"27/02/2021 21:06:12")</f>
        <v>27/02/2021 21:06:12</v>
      </c>
      <c r="L14" s="15">
        <f ca="1">IFERROR(__xludf.DUMMYFUNCTION("""COMPUTED_VALUE"""),1746)</f>
        <v>1746</v>
      </c>
      <c r="M14" s="16">
        <f ca="1">IFERROR(__xludf.DUMMYFUNCTION("""COMPUTED_VALUE"""),29.1)</f>
        <v>29.1</v>
      </c>
      <c r="N14" s="17" t="str">
        <f ca="1">IFERROR(__xludf.DUMMYFUNCTION("""COMPUTED_VALUE"""),"✓")</f>
        <v>✓</v>
      </c>
    </row>
    <row r="15" spans="1:16" ht="15.75">
      <c r="A15" s="15">
        <f ca="1">IFERROR(__xludf.DUMMYFUNCTION("""COMPUTED_VALUE"""),222)</f>
        <v>222</v>
      </c>
      <c r="B15" s="15" t="str">
        <f ca="1">IFERROR(__xludf.DUMMYFUNCTION("""COMPUTED_VALUE"""),"Phạm Đức Kiên")</f>
        <v>Phạm Đức Kiên</v>
      </c>
      <c r="C15" s="15" t="str">
        <f ca="1">IFERROR(__xludf.DUMMYFUNCTION("""COMPUTED_VALUE"""),"s1-17039")</f>
        <v>s1-17039</v>
      </c>
      <c r="D15" s="15">
        <f ca="1">IFERROR(__xludf.DUMMYFUNCTION("""COMPUTED_VALUE"""),3)</f>
        <v>3</v>
      </c>
      <c r="E15" s="15" t="str">
        <f ca="1">IFERROR(__xludf.DUMMYFUNCTION("""COMPUTED_VALUE"""),"3A2")</f>
        <v>3A2</v>
      </c>
      <c r="F15" s="15" t="str">
        <f ca="1">IFERROR(__xludf.DUMMYFUNCTION("""COMPUTED_VALUE"""),"TH Thành Công A")</f>
        <v>TH Thành Công A</v>
      </c>
      <c r="G15" s="15">
        <f ca="1">IFERROR(__xludf.DUMMYFUNCTION("""COMPUTED_VALUE"""),4)</f>
        <v>4</v>
      </c>
      <c r="H15" s="15">
        <f ca="1">IFERROR(__xludf.DUMMYFUNCTION("""COMPUTED_VALUE"""),16)</f>
        <v>16</v>
      </c>
      <c r="I15" s="15">
        <f ca="1">IFERROR(__xludf.DUMMYFUNCTION("""COMPUTED_VALUE"""),80)</f>
        <v>80</v>
      </c>
      <c r="J15" s="15">
        <f ca="1">IFERROR(__xludf.DUMMYFUNCTION("""COMPUTED_VALUE"""),100)</f>
        <v>100</v>
      </c>
      <c r="K15" s="15" t="str">
        <f ca="1">IFERROR(__xludf.DUMMYFUNCTION("""COMPUTED_VALUE"""),"27/02/2021 20:32:17")</f>
        <v>27/02/2021 20:32:17</v>
      </c>
      <c r="L15" s="15">
        <f ca="1">IFERROR(__xludf.DUMMYFUNCTION("""COMPUTED_VALUE"""),1934)</f>
        <v>1934</v>
      </c>
      <c r="M15" s="16">
        <f ca="1">IFERROR(__xludf.DUMMYFUNCTION("""COMPUTED_VALUE"""),32.2333333333333)</f>
        <v>32.233333333333299</v>
      </c>
      <c r="N15" s="17" t="str">
        <f ca="1">IFERROR(__xludf.DUMMYFUNCTION("""COMPUTED_VALUE"""),"✓")</f>
        <v>✓</v>
      </c>
    </row>
    <row r="16" spans="1:16" ht="15.75">
      <c r="A16" s="15">
        <f ca="1">IFERROR(__xludf.DUMMYFUNCTION("""COMPUTED_VALUE"""),260)</f>
        <v>260</v>
      </c>
      <c r="B16" s="15" t="str">
        <f ca="1">IFERROR(__xludf.DUMMYFUNCTION("""COMPUTED_VALUE"""),"Nguyễn Minh Triết")</f>
        <v>Nguyễn Minh Triết</v>
      </c>
      <c r="C16" s="15" t="str">
        <f ca="1">IFERROR(__xludf.DUMMYFUNCTION("""COMPUTED_VALUE"""),"s1-15442")</f>
        <v>s1-15442</v>
      </c>
      <c r="D16" s="15">
        <f ca="1">IFERROR(__xludf.DUMMYFUNCTION("""COMPUTED_VALUE"""),1)</f>
        <v>1</v>
      </c>
      <c r="E16" s="15" t="str">
        <f ca="1">IFERROR(__xludf.DUMMYFUNCTION("""COMPUTED_VALUE"""),"1A4")</f>
        <v>1A4</v>
      </c>
      <c r="F16" s="15" t="str">
        <f ca="1">IFERROR(__xludf.DUMMYFUNCTION("""COMPUTED_VALUE"""),"TH Thành Công A")</f>
        <v>TH Thành Công A</v>
      </c>
      <c r="G16" s="15">
        <f ca="1">IFERROR(__xludf.DUMMYFUNCTION("""COMPUTED_VALUE"""),5)</f>
        <v>5</v>
      </c>
      <c r="H16" s="15">
        <f ca="1">IFERROR(__xludf.DUMMYFUNCTION("""COMPUTED_VALUE"""),15)</f>
        <v>15</v>
      </c>
      <c r="I16" s="15">
        <f ca="1">IFERROR(__xludf.DUMMYFUNCTION("""COMPUTED_VALUE"""),75)</f>
        <v>75</v>
      </c>
      <c r="J16" s="15">
        <f ca="1">IFERROR(__xludf.DUMMYFUNCTION("""COMPUTED_VALUE"""),100)</f>
        <v>100</v>
      </c>
      <c r="K16" s="15" t="str">
        <f ca="1">IFERROR(__xludf.DUMMYFUNCTION("""COMPUTED_VALUE"""),"27/02/2021 20:37:21")</f>
        <v>27/02/2021 20:37:21</v>
      </c>
      <c r="L16" s="15">
        <f ca="1">IFERROR(__xludf.DUMMYFUNCTION("""COMPUTED_VALUE"""),1571)</f>
        <v>1571</v>
      </c>
      <c r="M16" s="16">
        <f ca="1">IFERROR(__xludf.DUMMYFUNCTION("""COMPUTED_VALUE"""),26.1833333333333)</f>
        <v>26.183333333333302</v>
      </c>
      <c r="N16" s="17" t="str">
        <f ca="1">IFERROR(__xludf.DUMMYFUNCTION("""COMPUTED_VALUE"""),"✓")</f>
        <v>✓</v>
      </c>
    </row>
    <row r="17" spans="1:14" ht="15.75">
      <c r="A17" s="15">
        <f ca="1">IFERROR(__xludf.DUMMYFUNCTION("""COMPUTED_VALUE"""),305)</f>
        <v>305</v>
      </c>
      <c r="B17" s="15" t="str">
        <f ca="1">IFERROR(__xludf.DUMMYFUNCTION("""COMPUTED_VALUE"""),"Lê Nguyễn Bảo An")</f>
        <v>Lê Nguyễn Bảo An</v>
      </c>
      <c r="C17" s="15" t="str">
        <f ca="1">IFERROR(__xludf.DUMMYFUNCTION("""COMPUTED_VALUE"""),"s1-16263")</f>
        <v>s1-16263</v>
      </c>
      <c r="D17" s="15">
        <f ca="1">IFERROR(__xludf.DUMMYFUNCTION("""COMPUTED_VALUE"""),2)</f>
        <v>2</v>
      </c>
      <c r="E17" s="15" t="str">
        <f ca="1">IFERROR(__xludf.DUMMYFUNCTION("""COMPUTED_VALUE"""),"2A5")</f>
        <v>2A5</v>
      </c>
      <c r="F17" s="15" t="str">
        <f ca="1">IFERROR(__xludf.DUMMYFUNCTION("""COMPUTED_VALUE"""),"TH Thành Công A")</f>
        <v>TH Thành Công A</v>
      </c>
      <c r="G17" s="15">
        <f ca="1">IFERROR(__xludf.DUMMYFUNCTION("""COMPUTED_VALUE"""),6)</f>
        <v>6</v>
      </c>
      <c r="H17" s="15">
        <f ca="1">IFERROR(__xludf.DUMMYFUNCTION("""COMPUTED_VALUE"""),14)</f>
        <v>14</v>
      </c>
      <c r="I17" s="15">
        <f ca="1">IFERROR(__xludf.DUMMYFUNCTION("""COMPUTED_VALUE"""),70)</f>
        <v>70</v>
      </c>
      <c r="J17" s="15">
        <f ca="1">IFERROR(__xludf.DUMMYFUNCTION("""COMPUTED_VALUE"""),100)</f>
        <v>100</v>
      </c>
      <c r="K17" s="15" t="str">
        <f ca="1">IFERROR(__xludf.DUMMYFUNCTION("""COMPUTED_VALUE"""),"27/02/2021 20:46:58")</f>
        <v>27/02/2021 20:46:58</v>
      </c>
      <c r="L17" s="15">
        <f ca="1">IFERROR(__xludf.DUMMYFUNCTION("""COMPUTED_VALUE"""),1831)</f>
        <v>1831</v>
      </c>
      <c r="M17" s="16">
        <f ca="1">IFERROR(__xludf.DUMMYFUNCTION("""COMPUTED_VALUE"""),30.5166666666666)</f>
        <v>30.516666666666602</v>
      </c>
      <c r="N17" s="17"/>
    </row>
    <row r="18" spans="1:14" ht="15.75">
      <c r="A18" s="15">
        <f ca="1">IFERROR(__xludf.DUMMYFUNCTION("""COMPUTED_VALUE"""),322)</f>
        <v>322</v>
      </c>
      <c r="B18" s="15" t="str">
        <f ca="1">IFERROR(__xludf.DUMMYFUNCTION("""COMPUTED_VALUE"""),"Nguyễn Quang Đại")</f>
        <v>Nguyễn Quang Đại</v>
      </c>
      <c r="C18" s="15" t="str">
        <f ca="1">IFERROR(__xludf.DUMMYFUNCTION("""COMPUTED_VALUE"""),"s1-15097")</f>
        <v>s1-15097</v>
      </c>
      <c r="D18" s="15">
        <f ca="1">IFERROR(__xludf.DUMMYFUNCTION("""COMPUTED_VALUE"""),3)</f>
        <v>3</v>
      </c>
      <c r="E18" s="15" t="str">
        <f ca="1">IFERROR(__xludf.DUMMYFUNCTION("""COMPUTED_VALUE"""),"3A6")</f>
        <v>3A6</v>
      </c>
      <c r="F18" s="15" t="str">
        <f ca="1">IFERROR(__xludf.DUMMYFUNCTION("""COMPUTED_VALUE"""),"TH Thành Công A")</f>
        <v>TH Thành Công A</v>
      </c>
      <c r="G18" s="15">
        <f ca="1">IFERROR(__xludf.DUMMYFUNCTION("""COMPUTED_VALUE"""),7)</f>
        <v>7</v>
      </c>
      <c r="H18" s="15">
        <f ca="1">IFERROR(__xludf.DUMMYFUNCTION("""COMPUTED_VALUE"""),13)</f>
        <v>13</v>
      </c>
      <c r="I18" s="15">
        <f ca="1">IFERROR(__xludf.DUMMYFUNCTION("""COMPUTED_VALUE"""),65)</f>
        <v>65</v>
      </c>
      <c r="J18" s="15">
        <f ca="1">IFERROR(__xludf.DUMMYFUNCTION("""COMPUTED_VALUE"""),100)</f>
        <v>100</v>
      </c>
      <c r="K18" s="15" t="str">
        <f ca="1">IFERROR(__xludf.DUMMYFUNCTION("""COMPUTED_VALUE"""),"27/02/2021 20:37:41")</f>
        <v>27/02/2021 20:37:41</v>
      </c>
      <c r="L18" s="15">
        <f ca="1">IFERROR(__xludf.DUMMYFUNCTION("""COMPUTED_VALUE"""),499)</f>
        <v>499</v>
      </c>
      <c r="M18" s="16">
        <f ca="1">IFERROR(__xludf.DUMMYFUNCTION("""COMPUTED_VALUE"""),8.31666666666666)</f>
        <v>8.3166666666666593</v>
      </c>
      <c r="N18" s="17"/>
    </row>
    <row r="19" spans="1:14" ht="15.75">
      <c r="A19" s="15">
        <f ca="1">IFERROR(__xludf.DUMMYFUNCTION("""COMPUTED_VALUE"""),336)</f>
        <v>336</v>
      </c>
      <c r="B19" s="15" t="str">
        <f ca="1">IFERROR(__xludf.DUMMYFUNCTION("""COMPUTED_VALUE"""),"Nguyễn Đình Đức")</f>
        <v>Nguyễn Đình Đức</v>
      </c>
      <c r="C19" s="15" t="str">
        <f ca="1">IFERROR(__xludf.DUMMYFUNCTION("""COMPUTED_VALUE"""),"s1-15120")</f>
        <v>s1-15120</v>
      </c>
      <c r="D19" s="15">
        <f ca="1">IFERROR(__xludf.DUMMYFUNCTION("""COMPUTED_VALUE"""),2)</f>
        <v>2</v>
      </c>
      <c r="E19" s="15" t="str">
        <f ca="1">IFERROR(__xludf.DUMMYFUNCTION("""COMPUTED_VALUE"""),"2A5")</f>
        <v>2A5</v>
      </c>
      <c r="F19" s="15" t="str">
        <f ca="1">IFERROR(__xludf.DUMMYFUNCTION("""COMPUTED_VALUE"""),"TH Thành Công A")</f>
        <v>TH Thành Công A</v>
      </c>
      <c r="G19" s="15">
        <f ca="1">IFERROR(__xludf.DUMMYFUNCTION("""COMPUTED_VALUE"""),7)</f>
        <v>7</v>
      </c>
      <c r="H19" s="15">
        <f ca="1">IFERROR(__xludf.DUMMYFUNCTION("""COMPUTED_VALUE"""),13)</f>
        <v>13</v>
      </c>
      <c r="I19" s="15">
        <f ca="1">IFERROR(__xludf.DUMMYFUNCTION("""COMPUTED_VALUE"""),65)</f>
        <v>65</v>
      </c>
      <c r="J19" s="15">
        <f ca="1">IFERROR(__xludf.DUMMYFUNCTION("""COMPUTED_VALUE"""),100)</f>
        <v>100</v>
      </c>
      <c r="K19" s="15" t="str">
        <f ca="1">IFERROR(__xludf.DUMMYFUNCTION("""COMPUTED_VALUE"""),"27/02/2021 20:24:16")</f>
        <v>27/02/2021 20:24:16</v>
      </c>
      <c r="L19" s="15">
        <f ca="1">IFERROR(__xludf.DUMMYFUNCTION("""COMPUTED_VALUE"""),1453)</f>
        <v>1453</v>
      </c>
      <c r="M19" s="16">
        <f ca="1">IFERROR(__xludf.DUMMYFUNCTION("""COMPUTED_VALUE"""),24.2166666666666)</f>
        <v>24.216666666666601</v>
      </c>
      <c r="N19" s="17"/>
    </row>
    <row r="20" spans="1:14" ht="15.75">
      <c r="A20" s="15">
        <f ca="1">IFERROR(__xludf.DUMMYFUNCTION("""COMPUTED_VALUE"""),349)</f>
        <v>349</v>
      </c>
      <c r="B20" s="15" t="str">
        <f ca="1">IFERROR(__xludf.DUMMYFUNCTION("""COMPUTED_VALUE"""),"Nguyễn Huy Thiên Tú")</f>
        <v>Nguyễn Huy Thiên Tú</v>
      </c>
      <c r="C20" s="15" t="str">
        <f ca="1">IFERROR(__xludf.DUMMYFUNCTION("""COMPUTED_VALUE"""),"s1-15454")</f>
        <v>s1-15454</v>
      </c>
      <c r="D20" s="15">
        <f ca="1">IFERROR(__xludf.DUMMYFUNCTION("""COMPUTED_VALUE"""),1)</f>
        <v>1</v>
      </c>
      <c r="E20" s="15" t="str">
        <f ca="1">IFERROR(__xludf.DUMMYFUNCTION("""COMPUTED_VALUE"""),"1A5")</f>
        <v>1A5</v>
      </c>
      <c r="F20" s="15" t="str">
        <f ca="1">IFERROR(__xludf.DUMMYFUNCTION("""COMPUTED_VALUE"""),"TH Thành Công A")</f>
        <v>TH Thành Công A</v>
      </c>
      <c r="G20" s="15">
        <f ca="1">IFERROR(__xludf.DUMMYFUNCTION("""COMPUTED_VALUE"""),7)</f>
        <v>7</v>
      </c>
      <c r="H20" s="15">
        <f ca="1">IFERROR(__xludf.DUMMYFUNCTION("""COMPUTED_VALUE"""),13)</f>
        <v>13</v>
      </c>
      <c r="I20" s="15">
        <f ca="1">IFERROR(__xludf.DUMMYFUNCTION("""COMPUTED_VALUE"""),65)</f>
        <v>65</v>
      </c>
      <c r="J20" s="15">
        <f ca="1">IFERROR(__xludf.DUMMYFUNCTION("""COMPUTED_VALUE"""),100)</f>
        <v>100</v>
      </c>
      <c r="K20" s="15" t="str">
        <f ca="1">IFERROR(__xludf.DUMMYFUNCTION("""COMPUTED_VALUE"""),"27/02/2021 20:39:28")</f>
        <v>27/02/2021 20:39:28</v>
      </c>
      <c r="L20" s="15">
        <f ca="1">IFERROR(__xludf.DUMMYFUNCTION("""COMPUTED_VALUE"""),2364)</f>
        <v>2364</v>
      </c>
      <c r="M20" s="16">
        <f ca="1">IFERROR(__xludf.DUMMYFUNCTION("""COMPUTED_VALUE"""),39.4)</f>
        <v>39.4</v>
      </c>
      <c r="N20" s="17"/>
    </row>
    <row r="21" spans="1:14" ht="15.75">
      <c r="A21" s="15">
        <f ca="1">IFERROR(__xludf.DUMMYFUNCTION("""COMPUTED_VALUE"""),448)</f>
        <v>448</v>
      </c>
      <c r="B21" s="15" t="str">
        <f ca="1">IFERROR(__xludf.DUMMYFUNCTION("""COMPUTED_VALUE"""),"Nguyễn An Khánh Chi")</f>
        <v>Nguyễn An Khánh Chi</v>
      </c>
      <c r="C21" s="15" t="str">
        <f ca="1">IFERROR(__xludf.DUMMYFUNCTION("""COMPUTED_VALUE"""),"s1-15259")</f>
        <v>s1-15259</v>
      </c>
      <c r="D21" s="15">
        <f ca="1">IFERROR(__xludf.DUMMYFUNCTION("""COMPUTED_VALUE"""),1)</f>
        <v>1</v>
      </c>
      <c r="E21" s="15" t="str">
        <f ca="1">IFERROR(__xludf.DUMMYFUNCTION("""COMPUTED_VALUE"""),"1A2")</f>
        <v>1A2</v>
      </c>
      <c r="F21" s="15" t="str">
        <f ca="1">IFERROR(__xludf.DUMMYFUNCTION("""COMPUTED_VALUE"""),"TH Thành Công A")</f>
        <v>TH Thành Công A</v>
      </c>
      <c r="G21" s="15">
        <f ca="1">IFERROR(__xludf.DUMMYFUNCTION("""COMPUTED_VALUE"""),10)</f>
        <v>10</v>
      </c>
      <c r="H21" s="15">
        <f ca="1">IFERROR(__xludf.DUMMYFUNCTION("""COMPUTED_VALUE"""),10)</f>
        <v>10</v>
      </c>
      <c r="I21" s="15">
        <f ca="1">IFERROR(__xludf.DUMMYFUNCTION("""COMPUTED_VALUE"""),50)</f>
        <v>50</v>
      </c>
      <c r="J21" s="15">
        <f ca="1">IFERROR(__xludf.DUMMYFUNCTION("""COMPUTED_VALUE"""),100)</f>
        <v>100</v>
      </c>
      <c r="K21" s="15" t="str">
        <f ca="1">IFERROR(__xludf.DUMMYFUNCTION("""COMPUTED_VALUE"""),"27/02/2021 20:20:43")</f>
        <v>27/02/2021 20:20:43</v>
      </c>
      <c r="L21" s="15">
        <f ca="1">IFERROR(__xludf.DUMMYFUNCTION("""COMPUTED_VALUE"""),1210)</f>
        <v>1210</v>
      </c>
      <c r="M21" s="16">
        <f ca="1">IFERROR(__xludf.DUMMYFUNCTION("""COMPUTED_VALUE"""),20.1666666666666)</f>
        <v>20.1666666666666</v>
      </c>
      <c r="N21" s="17"/>
    </row>
    <row r="22" spans="1:14" ht="15.75">
      <c r="A22" s="15">
        <f ca="1">IFERROR(__xludf.DUMMYFUNCTION("""COMPUTED_VALUE"""),500)</f>
        <v>500</v>
      </c>
      <c r="B22" s="15" t="str">
        <f ca="1">IFERROR(__xludf.DUMMYFUNCTION("""COMPUTED_VALUE"""),"Nguyễn Đức Thành")</f>
        <v>Nguyễn Đức Thành</v>
      </c>
      <c r="C22" s="15" t="str">
        <f ca="1">IFERROR(__xludf.DUMMYFUNCTION("""COMPUTED_VALUE"""),"s1-15102")</f>
        <v>s1-15102</v>
      </c>
      <c r="D22" s="15">
        <f ca="1">IFERROR(__xludf.DUMMYFUNCTION("""COMPUTED_VALUE"""),2)</f>
        <v>2</v>
      </c>
      <c r="E22" s="15" t="str">
        <f ca="1">IFERROR(__xludf.DUMMYFUNCTION("""COMPUTED_VALUE"""),"2A5")</f>
        <v>2A5</v>
      </c>
      <c r="F22" s="15" t="str">
        <f ca="1">IFERROR(__xludf.DUMMYFUNCTION("""COMPUTED_VALUE"""),"TH Thành Công A")</f>
        <v>TH Thành Công A</v>
      </c>
      <c r="G22" s="15">
        <f ca="1">IFERROR(__xludf.DUMMYFUNCTION("""COMPUTED_VALUE"""),11)</f>
        <v>11</v>
      </c>
      <c r="H22" s="15">
        <f ca="1">IFERROR(__xludf.DUMMYFUNCTION("""COMPUTED_VALUE"""),9)</f>
        <v>9</v>
      </c>
      <c r="I22" s="15">
        <f ca="1">IFERROR(__xludf.DUMMYFUNCTION("""COMPUTED_VALUE"""),45)</f>
        <v>45</v>
      </c>
      <c r="J22" s="15">
        <f ca="1">IFERROR(__xludf.DUMMYFUNCTION("""COMPUTED_VALUE"""),100)</f>
        <v>100</v>
      </c>
      <c r="K22" s="15" t="str">
        <f ca="1">IFERROR(__xludf.DUMMYFUNCTION("""COMPUTED_VALUE"""),"27/02/2021 20:32:36")</f>
        <v>27/02/2021 20:32:36</v>
      </c>
      <c r="L22" s="15">
        <f ca="1">IFERROR(__xludf.DUMMYFUNCTION("""COMPUTED_VALUE"""),1912)</f>
        <v>1912</v>
      </c>
      <c r="M22" s="16">
        <f ca="1">IFERROR(__xludf.DUMMYFUNCTION("""COMPUTED_VALUE"""),31.8666666666666)</f>
        <v>31.8666666666666</v>
      </c>
      <c r="N22" s="17"/>
    </row>
    <row r="23" spans="1:14" ht="15.75">
      <c r="A23" s="15">
        <f ca="1">IFERROR(__xludf.DUMMYFUNCTION("""COMPUTED_VALUE"""),529)</f>
        <v>529</v>
      </c>
      <c r="B23" s="15" t="str">
        <f ca="1">IFERROR(__xludf.DUMMYFUNCTION("""COMPUTED_VALUE"""),"Hồ Phan Thành")</f>
        <v>Hồ Phan Thành</v>
      </c>
      <c r="C23" s="15" t="str">
        <f ca="1">IFERROR(__xludf.DUMMYFUNCTION("""COMPUTED_VALUE"""),"s1-15478")</f>
        <v>s1-15478</v>
      </c>
      <c r="D23" s="15">
        <f ca="1">IFERROR(__xludf.DUMMYFUNCTION("""COMPUTED_VALUE"""),3)</f>
        <v>3</v>
      </c>
      <c r="E23" s="15" t="str">
        <f ca="1">IFERROR(__xludf.DUMMYFUNCTION("""COMPUTED_VALUE"""),"3A1")</f>
        <v>3A1</v>
      </c>
      <c r="F23" s="15" t="str">
        <f ca="1">IFERROR(__xludf.DUMMYFUNCTION("""COMPUTED_VALUE"""),"TH Thành Công A")</f>
        <v>TH Thành Công A</v>
      </c>
      <c r="G23" s="15">
        <f ca="1">IFERROR(__xludf.DUMMYFUNCTION("""COMPUTED_VALUE"""),12)</f>
        <v>12</v>
      </c>
      <c r="H23" s="15">
        <f ca="1">IFERROR(__xludf.DUMMYFUNCTION("""COMPUTED_VALUE"""),8)</f>
        <v>8</v>
      </c>
      <c r="I23" s="15">
        <f ca="1">IFERROR(__xludf.DUMMYFUNCTION("""COMPUTED_VALUE"""),40)</f>
        <v>40</v>
      </c>
      <c r="J23" s="15">
        <f ca="1">IFERROR(__xludf.DUMMYFUNCTION("""COMPUTED_VALUE"""),100)</f>
        <v>100</v>
      </c>
      <c r="K23" s="15" t="str">
        <f ca="1">IFERROR(__xludf.DUMMYFUNCTION("""COMPUTED_VALUE"""),"27/02/2021 21:00:07")</f>
        <v>27/02/2021 21:00:07</v>
      </c>
      <c r="L23" s="15">
        <f ca="1">IFERROR(__xludf.DUMMYFUNCTION("""COMPUTED_VALUE"""),3600)</f>
        <v>3600</v>
      </c>
      <c r="M23" s="16">
        <f ca="1">IFERROR(__xludf.DUMMYFUNCTION("""COMPUTED_VALUE"""),60)</f>
        <v>60</v>
      </c>
      <c r="N23" s="17"/>
    </row>
    <row r="24" spans="1:14" ht="15.75">
      <c r="A24" s="15">
        <f ca="1">IFERROR(__xludf.DUMMYFUNCTION("""COMPUTED_VALUE"""),560)</f>
        <v>560</v>
      </c>
      <c r="B24" s="15" t="str">
        <f ca="1">IFERROR(__xludf.DUMMYFUNCTION("""COMPUTED_VALUE"""),"Nguyễn Ngọc Chi Mai")</f>
        <v>Nguyễn Ngọc Chi Mai</v>
      </c>
      <c r="C24" s="15" t="str">
        <f ca="1">IFERROR(__xludf.DUMMYFUNCTION("""COMPUTED_VALUE"""),"s1-15418")</f>
        <v>s1-15418</v>
      </c>
      <c r="D24" s="15">
        <f ca="1">IFERROR(__xludf.DUMMYFUNCTION("""COMPUTED_VALUE"""),1)</f>
        <v>1</v>
      </c>
      <c r="E24" s="15" t="str">
        <f ca="1">IFERROR(__xludf.DUMMYFUNCTION("""COMPUTED_VALUE"""),"1A2")</f>
        <v>1A2</v>
      </c>
      <c r="F24" s="15" t="str">
        <f ca="1">IFERROR(__xludf.DUMMYFUNCTION("""COMPUTED_VALUE"""),"TH Thành Công A")</f>
        <v>TH Thành Công A</v>
      </c>
      <c r="G24" s="15">
        <f ca="1">IFERROR(__xludf.DUMMYFUNCTION("""COMPUTED_VALUE"""),14)</f>
        <v>14</v>
      </c>
      <c r="H24" s="15">
        <f ca="1">IFERROR(__xludf.DUMMYFUNCTION("""COMPUTED_VALUE"""),6)</f>
        <v>6</v>
      </c>
      <c r="I24" s="15">
        <f ca="1">IFERROR(__xludf.DUMMYFUNCTION("""COMPUTED_VALUE"""),30)</f>
        <v>30</v>
      </c>
      <c r="J24" s="15">
        <f ca="1">IFERROR(__xludf.DUMMYFUNCTION("""COMPUTED_VALUE"""),100)</f>
        <v>100</v>
      </c>
      <c r="K24" s="15" t="str">
        <f ca="1">IFERROR(__xludf.DUMMYFUNCTION("""COMPUTED_VALUE"""),"27/02/2021 20:16:48")</f>
        <v>27/02/2021 20:16:48</v>
      </c>
      <c r="L24" s="15">
        <f ca="1">IFERROR(__xludf.DUMMYFUNCTION("""COMPUTED_VALUE"""),977)</f>
        <v>977</v>
      </c>
      <c r="M24" s="16">
        <f ca="1">IFERROR(__xludf.DUMMYFUNCTION("""COMPUTED_VALUE"""),16.2833333333333)</f>
        <v>16.283333333333299</v>
      </c>
      <c r="N24" s="17"/>
    </row>
    <row r="25" spans="1:14" ht="15.75">
      <c r="A25" s="15">
        <f ca="1">IFERROR(__xludf.DUMMYFUNCTION("""COMPUTED_VALUE"""),563)</f>
        <v>563</v>
      </c>
      <c r="B25" s="15" t="str">
        <f ca="1">IFERROR(__xludf.DUMMYFUNCTION("""COMPUTED_VALUE"""),"Nguyễn Quang Đai")</f>
        <v>Nguyễn Quang Đai</v>
      </c>
      <c r="C25" s="15" t="str">
        <f ca="1">IFERROR(__xludf.DUMMYFUNCTION("""COMPUTED_VALUE"""),"s1-15096")</f>
        <v>s1-15096</v>
      </c>
      <c r="D25" s="15">
        <f ca="1">IFERROR(__xludf.DUMMYFUNCTION("""COMPUTED_VALUE"""),3)</f>
        <v>3</v>
      </c>
      <c r="E25" s="15" t="str">
        <f ca="1">IFERROR(__xludf.DUMMYFUNCTION("""COMPUTED_VALUE"""),"3A6")</f>
        <v>3A6</v>
      </c>
      <c r="F25" s="15" t="str">
        <f ca="1">IFERROR(__xludf.DUMMYFUNCTION("""COMPUTED_VALUE"""),"TH Thành Công A")</f>
        <v>TH Thành Công A</v>
      </c>
      <c r="G25" s="15">
        <f ca="1">IFERROR(__xludf.DUMMYFUNCTION("""COMPUTED_VALUE"""),11)</f>
        <v>11</v>
      </c>
      <c r="H25" s="15">
        <f ca="1">IFERROR(__xludf.DUMMYFUNCTION("""COMPUTED_VALUE"""),6)</f>
        <v>6</v>
      </c>
      <c r="I25" s="15">
        <f ca="1">IFERROR(__xludf.DUMMYFUNCTION("""COMPUTED_VALUE"""),30)</f>
        <v>30</v>
      </c>
      <c r="J25" s="15">
        <f ca="1">IFERROR(__xludf.DUMMYFUNCTION("""COMPUTED_VALUE"""),100)</f>
        <v>100</v>
      </c>
      <c r="K25" s="15" t="str">
        <f ca="1">IFERROR(__xludf.DUMMYFUNCTION("""COMPUTED_VALUE"""),"27/02/2021 20:19:22")</f>
        <v>27/02/2021 20:19:22</v>
      </c>
      <c r="L25" s="15">
        <f ca="1">IFERROR(__xludf.DUMMYFUNCTION("""COMPUTED_VALUE"""),1159)</f>
        <v>1159</v>
      </c>
      <c r="M25" s="16">
        <f ca="1">IFERROR(__xludf.DUMMYFUNCTION("""COMPUTED_VALUE"""),19.3166666666666)</f>
        <v>19.316666666666599</v>
      </c>
      <c r="N25" s="17"/>
    </row>
    <row r="26" spans="1:14" ht="15.75" customHeight="1">
      <c r="A26" s="15">
        <f ca="1">IFERROR(__xludf.DUMMYFUNCTION("""COMPUTED_VALUE"""),620)</f>
        <v>620</v>
      </c>
      <c r="B26" s="15" t="str">
        <f ca="1">IFERROR(__xludf.DUMMYFUNCTION("""COMPUTED_VALUE"""),"Phạm Quang Anh")</f>
        <v>Phạm Quang Anh</v>
      </c>
      <c r="C26" s="15" t="str">
        <f ca="1">IFERROR(__xludf.DUMMYFUNCTION("""COMPUTED_VALUE"""),"s1-15476")</f>
        <v>s1-15476</v>
      </c>
      <c r="D26" s="15">
        <f ca="1">IFERROR(__xludf.DUMMYFUNCTION("""COMPUTED_VALUE"""),3)</f>
        <v>3</v>
      </c>
      <c r="E26" s="15" t="str">
        <f ca="1">IFERROR(__xludf.DUMMYFUNCTION("""COMPUTED_VALUE"""),"3A1")</f>
        <v>3A1</v>
      </c>
      <c r="F26" s="15" t="str">
        <f ca="1">IFERROR(__xludf.DUMMYFUNCTION("""COMPUTED_VALUE"""),"TH Thành Công A")</f>
        <v>TH Thành Công A</v>
      </c>
      <c r="G26" s="15">
        <f ca="1">IFERROR(__xludf.DUMMYFUNCTION("""COMPUTED_VALUE"""),0)</f>
        <v>0</v>
      </c>
      <c r="H26" s="15">
        <f ca="1">IFERROR(__xludf.DUMMYFUNCTION("""COMPUTED_VALUE"""),0)</f>
        <v>0</v>
      </c>
      <c r="I26" s="15">
        <f ca="1">IFERROR(__xludf.DUMMYFUNCTION("""COMPUTED_VALUE"""),0)</f>
        <v>0</v>
      </c>
      <c r="J26" s="15">
        <f ca="1">IFERROR(__xludf.DUMMYFUNCTION("""COMPUTED_VALUE"""),100)</f>
        <v>100</v>
      </c>
      <c r="K26" s="15" t="str">
        <f ca="1">IFERROR(__xludf.DUMMYFUNCTION("""COMPUTED_VALUE"""),"27/02/2021 21:30:00")</f>
        <v>27/02/2021 21:30:00</v>
      </c>
      <c r="L26" s="15">
        <f ca="1">IFERROR(__xludf.DUMMYFUNCTION("""COMPUTED_VALUE"""),3497)</f>
        <v>3497</v>
      </c>
      <c r="M26" s="16">
        <f ca="1">IFERROR(__xludf.DUMMYFUNCTION("""COMPUTED_VALUE"""),58.2833333333333)</f>
        <v>58.283333333333303</v>
      </c>
      <c r="N26" s="17"/>
    </row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spans="1:16" ht="15.75" customHeight="1"/>
    <row r="386" spans="1:16" ht="15.75" customHeight="1"/>
    <row r="387" spans="1:16" ht="15.75" customHeight="1"/>
    <row r="388" spans="1:16" ht="15.75" customHeight="1"/>
    <row r="389" spans="1:16" ht="15.75" customHeight="1"/>
    <row r="390" spans="1:16" ht="15.75" customHeight="1"/>
    <row r="391" spans="1:16" ht="15.75" customHeight="1"/>
    <row r="392" spans="1:16" ht="15.75" customHeight="1"/>
    <row r="393" spans="1:16" ht="15.75" customHeight="1"/>
    <row r="394" spans="1:16" ht="15.75" customHeight="1"/>
    <row r="395" spans="1:16" ht="15.75" customHeight="1">
      <c r="A395" s="26"/>
      <c r="B395" s="21"/>
      <c r="C395" s="21"/>
      <c r="D395" s="9"/>
      <c r="E395" s="9"/>
      <c r="F395" s="10"/>
      <c r="G395" s="10"/>
      <c r="H395" s="10"/>
      <c r="I395" s="10"/>
      <c r="J395" s="10"/>
      <c r="K395" s="11"/>
      <c r="L395" s="11"/>
    </row>
    <row r="396" spans="1:16" ht="15.75" customHeight="1">
      <c r="A396" s="27"/>
      <c r="B396" s="21"/>
      <c r="C396" s="21"/>
      <c r="D396" s="9"/>
      <c r="E396" s="9"/>
      <c r="F396" s="10"/>
      <c r="G396" s="10"/>
      <c r="H396" s="10"/>
      <c r="I396" s="10"/>
      <c r="J396" s="10"/>
      <c r="K396" s="11"/>
      <c r="L396" s="11"/>
    </row>
    <row r="397" spans="1:16" ht="15.75" customHeight="1">
      <c r="A397" s="23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12"/>
    </row>
    <row r="398" spans="1:16" ht="15.75" customHeight="1">
      <c r="A398" s="24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</row>
    <row r="399" spans="1:16" ht="15.75" customHeight="1">
      <c r="A399" s="25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</row>
    <row r="400" spans="1:1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4"/>
      <c r="N400" s="14"/>
      <c r="O400" s="19"/>
      <c r="P400" s="19"/>
    </row>
    <row r="401" spans="1:14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6"/>
      <c r="N401" s="17"/>
    </row>
    <row r="402" spans="1:14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6"/>
      <c r="N402" s="17"/>
    </row>
    <row r="403" spans="1:14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6"/>
      <c r="N403" s="17"/>
    </row>
    <row r="404" spans="1:1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6"/>
      <c r="N404" s="17"/>
    </row>
    <row r="405" spans="1:14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6"/>
      <c r="N405" s="17"/>
    </row>
    <row r="406" spans="1:14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6"/>
      <c r="N406" s="17"/>
    </row>
    <row r="407" spans="1:14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6"/>
      <c r="N407" s="17"/>
    </row>
    <row r="408" spans="1:14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6"/>
      <c r="N408" s="17"/>
    </row>
    <row r="409" spans="1:14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6"/>
      <c r="N409" s="17"/>
    </row>
    <row r="410" spans="1:14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6"/>
      <c r="N410" s="17"/>
    </row>
    <row r="411" spans="1:14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6"/>
      <c r="N411" s="17"/>
    </row>
    <row r="412" spans="1:14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6"/>
      <c r="N412" s="17"/>
    </row>
    <row r="413" spans="1:14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6"/>
      <c r="N413" s="17"/>
    </row>
    <row r="414" spans="1: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6"/>
      <c r="N414" s="17"/>
    </row>
    <row r="415" spans="1:14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6"/>
      <c r="N415" s="17"/>
    </row>
    <row r="416" spans="1:14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6"/>
      <c r="N416" s="17"/>
    </row>
    <row r="417" spans="1:14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6"/>
      <c r="N417" s="17"/>
    </row>
    <row r="418" spans="1:14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6"/>
      <c r="N418" s="17"/>
    </row>
    <row r="419" spans="1:14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6"/>
      <c r="N419" s="17"/>
    </row>
    <row r="420" spans="1:14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6"/>
      <c r="N420" s="17"/>
    </row>
    <row r="421" spans="1:14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6"/>
      <c r="N421" s="17"/>
    </row>
    <row r="422" spans="1:14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6"/>
      <c r="N422" s="17"/>
    </row>
    <row r="423" spans="1:14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6"/>
      <c r="N423" s="17"/>
    </row>
    <row r="424" spans="1:1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6"/>
      <c r="N424" s="17"/>
    </row>
    <row r="425" spans="1:14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6"/>
      <c r="N425" s="17"/>
    </row>
    <row r="426" spans="1:14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6"/>
      <c r="N426" s="17"/>
    </row>
    <row r="427" spans="1:14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6"/>
      <c r="N427" s="17"/>
    </row>
    <row r="428" spans="1:14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6"/>
      <c r="N428" s="17"/>
    </row>
    <row r="429" spans="1:14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6"/>
      <c r="N429" s="17"/>
    </row>
    <row r="430" spans="1:14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6"/>
      <c r="N430" s="17"/>
    </row>
    <row r="431" spans="1:14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6"/>
      <c r="N431" s="17"/>
    </row>
    <row r="432" spans="1:14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6"/>
      <c r="N432" s="17"/>
    </row>
    <row r="433" spans="1:14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6"/>
      <c r="N433" s="17"/>
    </row>
    <row r="434" spans="1:1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6"/>
      <c r="N434" s="17"/>
    </row>
    <row r="435" spans="1:14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6"/>
      <c r="N435" s="17"/>
    </row>
    <row r="436" spans="1:14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6"/>
      <c r="N436" s="17"/>
    </row>
    <row r="437" spans="1:14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6"/>
      <c r="N437" s="17"/>
    </row>
    <row r="438" spans="1:14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6"/>
      <c r="N438" s="17"/>
    </row>
    <row r="439" spans="1:14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6"/>
      <c r="N439" s="17"/>
    </row>
    <row r="440" spans="1:14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6"/>
      <c r="N440" s="17"/>
    </row>
    <row r="441" spans="1:14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6"/>
      <c r="N441" s="17"/>
    </row>
    <row r="442" spans="1:14" ht="15.75" customHeight="1">
      <c r="A442" s="15"/>
      <c r="B442" s="15"/>
      <c r="C442" s="15"/>
      <c r="D442" s="18"/>
      <c r="E442" s="18"/>
      <c r="F442" s="15"/>
      <c r="G442" s="15"/>
      <c r="H442" s="15"/>
      <c r="I442" s="15"/>
      <c r="J442" s="15"/>
      <c r="K442" s="15"/>
      <c r="L442" s="15"/>
      <c r="M442" s="16"/>
      <c r="N442" s="17"/>
    </row>
    <row r="443" spans="1:14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6"/>
      <c r="N443" s="17"/>
    </row>
    <row r="444" spans="1:1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6"/>
      <c r="N444" s="17"/>
    </row>
    <row r="445" spans="1:14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6"/>
      <c r="N445" s="17"/>
    </row>
    <row r="446" spans="1:14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6"/>
      <c r="N446" s="17"/>
    </row>
    <row r="447" spans="1:14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6"/>
      <c r="N447" s="17"/>
    </row>
    <row r="448" spans="1:14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6"/>
      <c r="N448" s="17"/>
    </row>
    <row r="449" spans="1:14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6"/>
      <c r="N449" s="17"/>
    </row>
    <row r="450" spans="1:14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6"/>
      <c r="N450" s="17"/>
    </row>
    <row r="451" spans="1:14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6"/>
      <c r="N451" s="17"/>
    </row>
    <row r="452" spans="1:14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6"/>
      <c r="N452" s="17"/>
    </row>
    <row r="453" spans="1:14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6"/>
      <c r="N453" s="17"/>
    </row>
    <row r="454" spans="1:1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6"/>
      <c r="N454" s="17"/>
    </row>
    <row r="455" spans="1:14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6"/>
      <c r="N455" s="17"/>
    </row>
    <row r="456" spans="1:14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6"/>
      <c r="N456" s="17"/>
    </row>
    <row r="457" spans="1:14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6"/>
      <c r="N457" s="17"/>
    </row>
    <row r="458" spans="1:14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6"/>
      <c r="N458" s="17"/>
    </row>
    <row r="459" spans="1:14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6"/>
      <c r="N459" s="17"/>
    </row>
    <row r="460" spans="1:14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6"/>
      <c r="N460" s="17"/>
    </row>
    <row r="461" spans="1:14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6"/>
      <c r="N461" s="17"/>
    </row>
    <row r="462" spans="1:14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6"/>
      <c r="N462" s="17"/>
    </row>
    <row r="463" spans="1:14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6"/>
      <c r="N463" s="17"/>
    </row>
    <row r="464" spans="1:1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6"/>
      <c r="N464" s="17"/>
    </row>
    <row r="465" spans="1:14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6"/>
      <c r="N465" s="17"/>
    </row>
    <row r="466" spans="1:14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6"/>
      <c r="N466" s="17"/>
    </row>
    <row r="467" spans="1:14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6"/>
      <c r="N467" s="17"/>
    </row>
    <row r="468" spans="1:14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6"/>
      <c r="N468" s="17"/>
    </row>
    <row r="469" spans="1:14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6"/>
      <c r="N469" s="17"/>
    </row>
    <row r="470" spans="1:14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6"/>
      <c r="N470" s="17"/>
    </row>
    <row r="471" spans="1:14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6"/>
      <c r="N471" s="17"/>
    </row>
    <row r="472" spans="1:14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6"/>
      <c r="N472" s="17"/>
    </row>
    <row r="473" spans="1:14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6"/>
      <c r="N473" s="17"/>
    </row>
    <row r="474" spans="1:1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6"/>
      <c r="N474" s="17"/>
    </row>
    <row r="475" spans="1:14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6"/>
      <c r="N475" s="17"/>
    </row>
    <row r="476" spans="1:14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6"/>
      <c r="N476" s="17"/>
    </row>
    <row r="477" spans="1:14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6"/>
      <c r="N477" s="17"/>
    </row>
    <row r="478" spans="1:14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6"/>
      <c r="N478" s="17"/>
    </row>
    <row r="479" spans="1:14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6"/>
      <c r="N479" s="17"/>
    </row>
    <row r="480" spans="1:14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6"/>
      <c r="N480" s="17"/>
    </row>
    <row r="481" spans="1:14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6"/>
      <c r="N481" s="17"/>
    </row>
    <row r="482" spans="1:14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6"/>
      <c r="N482" s="17"/>
    </row>
    <row r="483" spans="1:14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6"/>
      <c r="N483" s="17"/>
    </row>
    <row r="484" spans="1:1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6"/>
      <c r="N484" s="17"/>
    </row>
    <row r="485" spans="1:14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6"/>
      <c r="N485" s="17"/>
    </row>
    <row r="486" spans="1:14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6"/>
      <c r="N486" s="17"/>
    </row>
    <row r="487" spans="1:14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6"/>
      <c r="N487" s="17"/>
    </row>
    <row r="488" spans="1:14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6"/>
      <c r="N488" s="17"/>
    </row>
    <row r="489" spans="1:14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6"/>
      <c r="N489" s="17"/>
    </row>
    <row r="490" spans="1:14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6"/>
      <c r="N490" s="17"/>
    </row>
    <row r="491" spans="1:14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6"/>
      <c r="N491" s="17"/>
    </row>
    <row r="492" spans="1:14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6"/>
      <c r="N492" s="17"/>
    </row>
    <row r="493" spans="1:14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6"/>
      <c r="N493" s="17"/>
    </row>
    <row r="494" spans="1:1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6"/>
      <c r="N494" s="17"/>
    </row>
    <row r="495" spans="1:14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6"/>
      <c r="N495" s="17"/>
    </row>
    <row r="496" spans="1:14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6"/>
      <c r="N496" s="17"/>
    </row>
    <row r="497" spans="1:14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6"/>
      <c r="N497" s="17"/>
    </row>
    <row r="498" spans="1:14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6"/>
      <c r="N498" s="17"/>
    </row>
    <row r="499" spans="1:14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6"/>
      <c r="N499" s="17"/>
    </row>
    <row r="500" spans="1:14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6"/>
      <c r="N500" s="17"/>
    </row>
    <row r="501" spans="1:14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6"/>
      <c r="N501" s="17"/>
    </row>
    <row r="502" spans="1:14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6"/>
      <c r="N502" s="17"/>
    </row>
    <row r="503" spans="1:14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6"/>
      <c r="N503" s="17"/>
    </row>
    <row r="504" spans="1:1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6"/>
      <c r="N504" s="17"/>
    </row>
    <row r="505" spans="1:14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6"/>
      <c r="N505" s="17"/>
    </row>
    <row r="506" spans="1:14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6"/>
      <c r="N506" s="17"/>
    </row>
    <row r="507" spans="1:14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6"/>
      <c r="N507" s="17"/>
    </row>
    <row r="508" spans="1:14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6"/>
      <c r="N508" s="17"/>
    </row>
    <row r="509" spans="1:14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6"/>
      <c r="N509" s="17"/>
    </row>
    <row r="510" spans="1:14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6"/>
      <c r="N510" s="17"/>
    </row>
    <row r="511" spans="1:14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6"/>
      <c r="N511" s="17"/>
    </row>
    <row r="512" spans="1:14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6"/>
      <c r="N512" s="17"/>
    </row>
    <row r="513" spans="1:14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6"/>
      <c r="N513" s="17"/>
    </row>
    <row r="514" spans="1: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6"/>
      <c r="N514" s="17"/>
    </row>
    <row r="515" spans="1:14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6"/>
      <c r="N515" s="17"/>
    </row>
    <row r="516" spans="1:14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6"/>
      <c r="N516" s="17"/>
    </row>
    <row r="517" spans="1:14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6"/>
      <c r="N517" s="17"/>
    </row>
    <row r="518" spans="1:14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6"/>
      <c r="N518" s="17"/>
    </row>
    <row r="519" spans="1:14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6"/>
      <c r="N519" s="17"/>
    </row>
    <row r="520" spans="1:14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6"/>
      <c r="N520" s="17"/>
    </row>
    <row r="521" spans="1:14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6"/>
      <c r="N521" s="17"/>
    </row>
    <row r="522" spans="1:14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6"/>
      <c r="N522" s="17"/>
    </row>
    <row r="523" spans="1:14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6"/>
      <c r="N523" s="17"/>
    </row>
    <row r="524" spans="1:1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6"/>
      <c r="N524" s="17"/>
    </row>
    <row r="525" spans="1:14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6"/>
      <c r="N525" s="17"/>
    </row>
    <row r="526" spans="1:14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6"/>
      <c r="N526" s="17"/>
    </row>
    <row r="527" spans="1:14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6"/>
      <c r="N527" s="17"/>
    </row>
    <row r="528" spans="1:14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</sheetData>
  <mergeCells count="10">
    <mergeCell ref="A397:N397"/>
    <mergeCell ref="A398:N398"/>
    <mergeCell ref="A399:N399"/>
    <mergeCell ref="A1:C1"/>
    <mergeCell ref="A2:C2"/>
    <mergeCell ref="A3:N3"/>
    <mergeCell ref="A4:N4"/>
    <mergeCell ref="A5:N5"/>
    <mergeCell ref="A395:C395"/>
    <mergeCell ref="A396:C396"/>
  </mergeCells>
  <conditionalFormatting sqref="N1:N2 N7:N396 N401:N896">
    <cfRule type="cellIs" dxfId="1" priority="1" operator="equal">
      <formula>"✓"</formula>
    </cfRule>
  </conditionalFormatting>
  <conditionalFormatting sqref="N7:N26 N401:N527">
    <cfRule type="cellIs" dxfId="0" priority="2" operator="equal">
      <formula>"X"</formula>
    </cfRule>
  </conditionalFormatting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</vt:lpstr>
      <vt:lpstr>TH Thành Công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Nguyen</cp:lastModifiedBy>
  <dcterms:modified xsi:type="dcterms:W3CDTF">2021-03-05T14:12:31Z</dcterms:modified>
</cp:coreProperties>
</file>