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010" windowHeight="11745" tabRatio="936" activeTab="1"/>
  </bookViews>
  <sheets>
    <sheet name="Thống kê" sheetId="23" r:id="rId1"/>
    <sheet name="TH Thành Công A" sheetId="16" r:id="rId2"/>
    <sheet name="Count" sheetId="1" r:id="rId3"/>
  </sheets>
  <calcPr calcId="144525"/>
</workbook>
</file>

<file path=xl/calcChain.xml><?xml version="1.0" encoding="utf-8"?>
<calcChain xmlns="http://schemas.openxmlformats.org/spreadsheetml/2006/main">
  <c r="A3" i="16" l="1"/>
  <c r="A58" i="16"/>
  <c r="K56" i="16"/>
  <c r="H55" i="16"/>
  <c r="E54" i="16"/>
  <c r="B53" i="16"/>
  <c r="L51" i="16"/>
  <c r="I50" i="16"/>
  <c r="F49" i="16"/>
  <c r="C48" i="16"/>
  <c r="M46" i="16"/>
  <c r="J45" i="16"/>
  <c r="G44" i="16"/>
  <c r="D43" i="16"/>
  <c r="A42" i="16"/>
  <c r="K40" i="16"/>
  <c r="H39" i="16"/>
  <c r="E38" i="16"/>
  <c r="B37" i="16"/>
  <c r="L35" i="16"/>
  <c r="I34" i="16"/>
  <c r="F33" i="16"/>
  <c r="D32" i="16"/>
  <c r="B31" i="16"/>
  <c r="N29" i="16"/>
  <c r="L28" i="16"/>
  <c r="J27" i="16"/>
  <c r="H26" i="16"/>
  <c r="F25" i="16"/>
  <c r="D24" i="16"/>
  <c r="B23" i="16"/>
  <c r="N21" i="16"/>
  <c r="L20" i="16"/>
  <c r="J19" i="16"/>
  <c r="H18" i="16"/>
  <c r="F17" i="16"/>
  <c r="D16" i="16"/>
  <c r="B15" i="16"/>
  <c r="N13" i="16"/>
  <c r="L12" i="16"/>
  <c r="J11" i="16"/>
  <c r="H10" i="16"/>
  <c r="F9" i="16"/>
  <c r="D8" i="16"/>
  <c r="B7" i="16"/>
  <c r="D58" i="16"/>
  <c r="A57" i="16"/>
  <c r="K55" i="16"/>
  <c r="H54" i="16"/>
  <c r="E53" i="16"/>
  <c r="B52" i="16"/>
  <c r="L50" i="16"/>
  <c r="I49" i="16"/>
  <c r="F48" i="16"/>
  <c r="C47" i="16"/>
  <c r="M45" i="16"/>
  <c r="J44" i="16"/>
  <c r="G43" i="16"/>
  <c r="D42" i="16"/>
  <c r="A41" i="16"/>
  <c r="K39" i="16"/>
  <c r="H38" i="16"/>
  <c r="E37" i="16"/>
  <c r="B36" i="16"/>
  <c r="L34" i="16"/>
  <c r="I33" i="16"/>
  <c r="G32" i="16"/>
  <c r="E31" i="16"/>
  <c r="C30" i="16"/>
  <c r="A29" i="16"/>
  <c r="M27" i="16"/>
  <c r="K26" i="16"/>
  <c r="I25" i="16"/>
  <c r="G24" i="16"/>
  <c r="E23" i="16"/>
  <c r="C22" i="16"/>
  <c r="A21" i="16"/>
  <c r="M19" i="16"/>
  <c r="K18" i="16"/>
  <c r="I17" i="16"/>
  <c r="G16" i="16"/>
  <c r="E15" i="16"/>
  <c r="C14" i="16"/>
  <c r="A13" i="16"/>
  <c r="M11" i="16"/>
  <c r="K10" i="16"/>
  <c r="I9" i="16"/>
  <c r="G8" i="16"/>
  <c r="E7" i="16"/>
  <c r="C58" i="16"/>
  <c r="M56" i="16"/>
  <c r="J55" i="16"/>
  <c r="G54" i="16"/>
  <c r="D53" i="16"/>
  <c r="A52" i="16"/>
  <c r="K50" i="16"/>
  <c r="H49" i="16"/>
  <c r="E48" i="16"/>
  <c r="B47" i="16"/>
  <c r="L45" i="16"/>
  <c r="I44" i="16"/>
  <c r="F43" i="16"/>
  <c r="C42" i="16"/>
  <c r="M40" i="16"/>
  <c r="J39" i="16"/>
  <c r="G38" i="16"/>
  <c r="D37" i="16"/>
  <c r="A36" i="16"/>
  <c r="K34" i="16"/>
  <c r="H33" i="16"/>
  <c r="F32" i="16"/>
  <c r="D31" i="16"/>
  <c r="B30" i="16"/>
  <c r="N28" i="16"/>
  <c r="L27" i="16"/>
  <c r="J26" i="16"/>
  <c r="H25" i="16"/>
  <c r="F24" i="16"/>
  <c r="D23" i="16"/>
  <c r="B22" i="16"/>
  <c r="N20" i="16"/>
  <c r="L19" i="16"/>
  <c r="J18" i="16"/>
  <c r="H17" i="16"/>
  <c r="F16" i="16"/>
  <c r="D15" i="16"/>
  <c r="B14" i="16"/>
  <c r="N12" i="16"/>
  <c r="I58" i="16"/>
  <c r="F57" i="16"/>
  <c r="C56" i="16"/>
  <c r="M54" i="16"/>
  <c r="J53" i="16"/>
  <c r="G52" i="16"/>
  <c r="D51" i="16"/>
  <c r="A50" i="16"/>
  <c r="K48" i="16"/>
  <c r="H47" i="16"/>
  <c r="E46" i="16"/>
  <c r="B45" i="16"/>
  <c r="L43" i="16"/>
  <c r="I42" i="16"/>
  <c r="F41" i="16"/>
  <c r="C40" i="16"/>
  <c r="M38" i="16"/>
  <c r="J37" i="16"/>
  <c r="G36" i="16"/>
  <c r="D35" i="16"/>
  <c r="A34" i="16"/>
  <c r="L32" i="16"/>
  <c r="J31" i="16"/>
  <c r="H30" i="16"/>
  <c r="F29" i="16"/>
  <c r="D28" i="16"/>
  <c r="B27" i="16"/>
  <c r="N25" i="16"/>
  <c r="L24" i="16"/>
  <c r="J23" i="16"/>
  <c r="H22" i="16"/>
  <c r="F21" i="16"/>
  <c r="D20" i="16"/>
  <c r="B19" i="16"/>
  <c r="N17" i="16"/>
  <c r="L16" i="16"/>
  <c r="J15" i="16"/>
  <c r="H14" i="16"/>
  <c r="F13" i="16"/>
  <c r="D12" i="16"/>
  <c r="B11" i="16"/>
  <c r="N9" i="16"/>
  <c r="L8" i="16"/>
  <c r="J7" i="16"/>
  <c r="L58" i="16"/>
  <c r="I57" i="16"/>
  <c r="F56" i="16"/>
  <c r="C55" i="16"/>
  <c r="M53" i="16"/>
  <c r="J52" i="16"/>
  <c r="G51" i="16"/>
  <c r="D50" i="16"/>
  <c r="A49" i="16"/>
  <c r="K47" i="16"/>
  <c r="H46" i="16"/>
  <c r="E45" i="16"/>
  <c r="B44" i="16"/>
  <c r="L42" i="16"/>
  <c r="I41" i="16"/>
  <c r="F40" i="16"/>
  <c r="C39" i="16"/>
  <c r="M37" i="16"/>
  <c r="J36" i="16"/>
  <c r="G35" i="16"/>
  <c r="D34" i="16"/>
  <c r="A33" i="16"/>
  <c r="M31" i="16"/>
  <c r="K30" i="16"/>
  <c r="I29" i="16"/>
  <c r="G28" i="16"/>
  <c r="E27" i="16"/>
  <c r="C26" i="16"/>
  <c r="A25" i="16"/>
  <c r="M23" i="16"/>
  <c r="K22" i="16"/>
  <c r="I21" i="16"/>
  <c r="G20" i="16"/>
  <c r="E19" i="16"/>
  <c r="C18" i="16"/>
  <c r="A17" i="16"/>
  <c r="M15" i="16"/>
  <c r="K14" i="16"/>
  <c r="I13" i="16"/>
  <c r="G12" i="16"/>
  <c r="E11" i="16"/>
  <c r="C10" i="16"/>
  <c r="A9" i="16"/>
  <c r="M7" i="16"/>
  <c r="K58" i="16"/>
  <c r="H57" i="16"/>
  <c r="E56" i="16"/>
  <c r="B55" i="16"/>
  <c r="L53" i="16"/>
  <c r="I52" i="16"/>
  <c r="F51" i="16"/>
  <c r="C50" i="16"/>
  <c r="M48" i="16"/>
  <c r="J47" i="16"/>
  <c r="G46" i="16"/>
  <c r="D45" i="16"/>
  <c r="A44" i="16"/>
  <c r="K42" i="16"/>
  <c r="H41" i="16"/>
  <c r="E40" i="16"/>
  <c r="B39" i="16"/>
  <c r="L37" i="16"/>
  <c r="I36" i="16"/>
  <c r="F35" i="16"/>
  <c r="C34" i="16"/>
  <c r="N32" i="16"/>
  <c r="L31" i="16"/>
  <c r="J30" i="16"/>
  <c r="H29" i="16"/>
  <c r="F28" i="16"/>
  <c r="D27" i="16"/>
  <c r="B26" i="16"/>
  <c r="N24" i="16"/>
  <c r="L23" i="16"/>
  <c r="J22" i="16"/>
  <c r="H21" i="16"/>
  <c r="F20" i="16"/>
  <c r="D19" i="16"/>
  <c r="B18" i="16"/>
  <c r="N16" i="16"/>
  <c r="L15" i="16"/>
  <c r="J14" i="16"/>
  <c r="H13" i="16"/>
  <c r="E58" i="16"/>
  <c r="B57" i="16"/>
  <c r="L55" i="16"/>
  <c r="I54" i="16"/>
  <c r="F53" i="16"/>
  <c r="C52" i="16"/>
  <c r="M50" i="16"/>
  <c r="J49" i="16"/>
  <c r="G48" i="16"/>
  <c r="D47" i="16"/>
  <c r="A46" i="16"/>
  <c r="K44" i="16"/>
  <c r="H43" i="16"/>
  <c r="E42" i="16"/>
  <c r="B41" i="16"/>
  <c r="L39" i="16"/>
  <c r="I38" i="16"/>
  <c r="F37" i="16"/>
  <c r="C36" i="16"/>
  <c r="M34" i="16"/>
  <c r="J33" i="16"/>
  <c r="H32" i="16"/>
  <c r="F31" i="16"/>
  <c r="D30" i="16"/>
  <c r="B29" i="16"/>
  <c r="N27" i="16"/>
  <c r="L26" i="16"/>
  <c r="J25" i="16"/>
  <c r="H24" i="16"/>
  <c r="F23" i="16"/>
  <c r="D22" i="16"/>
  <c r="B21" i="16"/>
  <c r="N19" i="16"/>
  <c r="L18" i="16"/>
  <c r="J17" i="16"/>
  <c r="H16" i="16"/>
  <c r="F15" i="16"/>
  <c r="D14" i="16"/>
  <c r="B13" i="16"/>
  <c r="N11" i="16"/>
  <c r="L10" i="16"/>
  <c r="J9" i="16"/>
  <c r="H8" i="16"/>
  <c r="F7" i="16"/>
  <c r="M57" i="16"/>
  <c r="J56" i="16"/>
  <c r="G55" i="16"/>
  <c r="D54" i="16"/>
  <c r="A53" i="16"/>
  <c r="K51" i="16"/>
  <c r="H50" i="16"/>
  <c r="E49" i="16"/>
  <c r="B48" i="16"/>
  <c r="L46" i="16"/>
  <c r="I45" i="16"/>
  <c r="F44" i="16"/>
  <c r="C43" i="16"/>
  <c r="M41" i="16"/>
  <c r="J40" i="16"/>
  <c r="G39" i="16"/>
  <c r="D38" i="16"/>
  <c r="A37" i="16"/>
  <c r="K35" i="16"/>
  <c r="H34" i="16"/>
  <c r="E33" i="16"/>
  <c r="C32" i="16"/>
  <c r="A31" i="16"/>
  <c r="M29" i="16"/>
  <c r="K28" i="16"/>
  <c r="I27" i="16"/>
  <c r="G26" i="16"/>
  <c r="E25" i="16"/>
  <c r="C24" i="16"/>
  <c r="A23" i="16"/>
  <c r="M21" i="16"/>
  <c r="K20" i="16"/>
  <c r="I19" i="16"/>
  <c r="G18" i="16"/>
  <c r="E17" i="16"/>
  <c r="C16" i="16"/>
  <c r="A15" i="16"/>
  <c r="M13" i="16"/>
  <c r="K12" i="16"/>
  <c r="I11" i="16"/>
  <c r="G10" i="16"/>
  <c r="E9" i="16"/>
  <c r="C8" i="16"/>
  <c r="A7" i="16"/>
  <c r="L57" i="16"/>
  <c r="I56" i="16"/>
  <c r="F55" i="16"/>
  <c r="C54" i="16"/>
  <c r="M52" i="16"/>
  <c r="J51" i="16"/>
  <c r="G50" i="16"/>
  <c r="D49" i="16"/>
  <c r="A48" i="16"/>
  <c r="K46" i="16"/>
  <c r="H45" i="16"/>
  <c r="E44" i="16"/>
  <c r="B43" i="16"/>
  <c r="L41" i="16"/>
  <c r="I40" i="16"/>
  <c r="F39" i="16"/>
  <c r="C38" i="16"/>
  <c r="M36" i="16"/>
  <c r="J35" i="16"/>
  <c r="G34" i="16"/>
  <c r="D33" i="16"/>
  <c r="B32" i="16"/>
  <c r="N30" i="16"/>
  <c r="L29" i="16"/>
  <c r="J28" i="16"/>
  <c r="H27" i="16"/>
  <c r="F26" i="16"/>
  <c r="D25" i="16"/>
  <c r="B24" i="16"/>
  <c r="N22" i="16"/>
  <c r="L21" i="16"/>
  <c r="J20" i="16"/>
  <c r="H19" i="16"/>
  <c r="F18" i="16"/>
  <c r="D17" i="16"/>
  <c r="B16" i="16"/>
  <c r="N14" i="16"/>
  <c r="L13" i="16"/>
  <c r="J12" i="16"/>
  <c r="L11" i="16"/>
  <c r="J10" i="16"/>
  <c r="H9" i="16"/>
  <c r="F8" i="16"/>
  <c r="D7" i="16"/>
  <c r="A55" i="16"/>
  <c r="B50" i="16"/>
  <c r="C45" i="16"/>
  <c r="M58" i="16"/>
  <c r="J57" i="16"/>
  <c r="G56" i="16"/>
  <c r="D55" i="16"/>
  <c r="A54" i="16"/>
  <c r="K52" i="16"/>
  <c r="H51" i="16"/>
  <c r="E50" i="16"/>
  <c r="B49" i="16"/>
  <c r="L47" i="16"/>
  <c r="I46" i="16"/>
  <c r="F45" i="16"/>
  <c r="C44" i="16"/>
  <c r="M42" i="16"/>
  <c r="J41" i="16"/>
  <c r="G40" i="16"/>
  <c r="D39" i="16"/>
  <c r="A38" i="16"/>
  <c r="K36" i="16"/>
  <c r="H35" i="16"/>
  <c r="E34" i="16"/>
  <c r="B33" i="16"/>
  <c r="N31" i="16"/>
  <c r="L30" i="16"/>
  <c r="J29" i="16"/>
  <c r="H28" i="16"/>
  <c r="F27" i="16"/>
  <c r="D26" i="16"/>
  <c r="B25" i="16"/>
  <c r="N23" i="16"/>
  <c r="L22" i="16"/>
  <c r="J21" i="16"/>
  <c r="H20" i="16"/>
  <c r="F19" i="16"/>
  <c r="D18" i="16"/>
  <c r="B17" i="16"/>
  <c r="N15" i="16"/>
  <c r="L14" i="16"/>
  <c r="J13" i="16"/>
  <c r="H12" i="16"/>
  <c r="F11" i="16"/>
  <c r="D10" i="16"/>
  <c r="B9" i="16"/>
  <c r="N7" i="16"/>
  <c r="H58" i="16"/>
  <c r="E57" i="16"/>
  <c r="B56" i="16"/>
  <c r="L54" i="16"/>
  <c r="I53" i="16"/>
  <c r="F52" i="16"/>
  <c r="C51" i="16"/>
  <c r="M49" i="16"/>
  <c r="J48" i="16"/>
  <c r="G47" i="16"/>
  <c r="D46" i="16"/>
  <c r="A45" i="16"/>
  <c r="K43" i="16"/>
  <c r="H42" i="16"/>
  <c r="E41" i="16"/>
  <c r="B40" i="16"/>
  <c r="L38" i="16"/>
  <c r="I37" i="16"/>
  <c r="F36" i="16"/>
  <c r="C35" i="16"/>
  <c r="M33" i="16"/>
  <c r="K32" i="16"/>
  <c r="I31" i="16"/>
  <c r="G30" i="16"/>
  <c r="E29" i="16"/>
  <c r="C28" i="16"/>
  <c r="A27" i="16"/>
  <c r="M25" i="16"/>
  <c r="K24" i="16"/>
  <c r="I23" i="16"/>
  <c r="G22" i="16"/>
  <c r="E21" i="16"/>
  <c r="C20" i="16"/>
  <c r="A19" i="16"/>
  <c r="M17" i="16"/>
  <c r="K16" i="16"/>
  <c r="I15" i="16"/>
  <c r="G14" i="16"/>
  <c r="E13" i="16"/>
  <c r="C12" i="16"/>
  <c r="A11" i="16"/>
  <c r="M9" i="16"/>
  <c r="K8" i="16"/>
  <c r="I7" i="16"/>
  <c r="G58" i="16"/>
  <c r="D57" i="16"/>
  <c r="A56" i="16"/>
  <c r="K54" i="16"/>
  <c r="H53" i="16"/>
  <c r="E52" i="16"/>
  <c r="B51" i="16"/>
  <c r="L49" i="16"/>
  <c r="I48" i="16"/>
  <c r="F47" i="16"/>
  <c r="C46" i="16"/>
  <c r="M44" i="16"/>
  <c r="J43" i="16"/>
  <c r="G42" i="16"/>
  <c r="D41" i="16"/>
  <c r="A40" i="16"/>
  <c r="K38" i="16"/>
  <c r="H37" i="16"/>
  <c r="E36" i="16"/>
  <c r="B35" i="16"/>
  <c r="L33" i="16"/>
  <c r="J32" i="16"/>
  <c r="H31" i="16"/>
  <c r="F30" i="16"/>
  <c r="D29" i="16"/>
  <c r="B28" i="16"/>
  <c r="N26" i="16"/>
  <c r="L25" i="16"/>
  <c r="J24" i="16"/>
  <c r="H23" i="16"/>
  <c r="F22" i="16"/>
  <c r="D21" i="16"/>
  <c r="B20" i="16"/>
  <c r="N18" i="16"/>
  <c r="L17" i="16"/>
  <c r="J16" i="16"/>
  <c r="H15" i="16"/>
  <c r="F14" i="16"/>
  <c r="D13" i="16"/>
  <c r="F12" i="16"/>
  <c r="B10" i="16"/>
  <c r="L7" i="16"/>
  <c r="H52" i="16"/>
  <c r="J42" i="16"/>
  <c r="K37" i="16"/>
  <c r="M32" i="16"/>
  <c r="E28" i="16"/>
  <c r="K23" i="16"/>
  <c r="C19" i="16"/>
  <c r="I14" i="16"/>
  <c r="A10" i="16"/>
  <c r="F58" i="16"/>
  <c r="G53" i="16"/>
  <c r="H48" i="16"/>
  <c r="I43" i="16"/>
  <c r="J38" i="16"/>
  <c r="K33" i="16"/>
  <c r="C29" i="16"/>
  <c r="I24" i="16"/>
  <c r="A20" i="16"/>
  <c r="G15" i="16"/>
  <c r="M10" i="16"/>
  <c r="B58" i="16"/>
  <c r="C53" i="16"/>
  <c r="D48" i="16"/>
  <c r="E43" i="16"/>
  <c r="F38" i="16"/>
  <c r="G33" i="16"/>
  <c r="M28" i="16"/>
  <c r="E24" i="16"/>
  <c r="K19" i="16"/>
  <c r="C15" i="16"/>
  <c r="I10" i="16"/>
  <c r="H56" i="16"/>
  <c r="I51" i="16"/>
  <c r="J46" i="16"/>
  <c r="K41" i="16"/>
  <c r="L36" i="16"/>
  <c r="A32" i="16"/>
  <c r="G27" i="16"/>
  <c r="M22" i="16"/>
  <c r="E18" i="16"/>
  <c r="K13" i="16"/>
  <c r="C9" i="16"/>
  <c r="H11" i="16"/>
  <c r="F10" i="16"/>
  <c r="D9" i="16"/>
  <c r="B8" i="16"/>
  <c r="J58" i="16"/>
  <c r="K53" i="16"/>
  <c r="L48" i="16"/>
  <c r="M43" i="16"/>
  <c r="A39" i="16"/>
  <c r="B34" i="16"/>
  <c r="G29" i="16"/>
  <c r="M24" i="16"/>
  <c r="E20" i="16"/>
  <c r="K15" i="16"/>
  <c r="C11" i="16"/>
  <c r="C57" i="16"/>
  <c r="D52" i="16"/>
  <c r="E47" i="16"/>
  <c r="F42" i="16"/>
  <c r="G37" i="16"/>
  <c r="I32" i="16"/>
  <c r="A28" i="16"/>
  <c r="G23" i="16"/>
  <c r="M18" i="16"/>
  <c r="E14" i="16"/>
  <c r="K9" i="16"/>
  <c r="L56" i="16"/>
  <c r="M51" i="16"/>
  <c r="A47" i="16"/>
  <c r="B42" i="16"/>
  <c r="C37" i="16"/>
  <c r="E32" i="16"/>
  <c r="K27" i="16"/>
  <c r="C23" i="16"/>
  <c r="I18" i="16"/>
  <c r="A14" i="16"/>
  <c r="G9" i="16"/>
  <c r="K57" i="16"/>
  <c r="L52" i="16"/>
  <c r="M47" i="16"/>
  <c r="A43" i="16"/>
  <c r="B38" i="16"/>
  <c r="C33" i="16"/>
  <c r="I28" i="16"/>
  <c r="A24" i="16"/>
  <c r="G19" i="16"/>
  <c r="M14" i="16"/>
  <c r="E10" i="16"/>
  <c r="B11" i="1"/>
  <c r="A21" i="1"/>
  <c r="A17" i="1"/>
  <c r="A13" i="1"/>
  <c r="A9" i="1"/>
  <c r="A5" i="1"/>
  <c r="H23" i="1"/>
  <c r="H19" i="1"/>
  <c r="H15" i="1"/>
  <c r="H11" i="1"/>
  <c r="H7" i="1"/>
  <c r="A4" i="1"/>
  <c r="G20" i="1"/>
  <c r="G16" i="1"/>
  <c r="G12" i="1"/>
  <c r="G8" i="1"/>
  <c r="H4" i="1"/>
  <c r="B22" i="1"/>
  <c r="B18" i="1"/>
  <c r="B14" i="1"/>
  <c r="B9" i="1"/>
  <c r="B5" i="1"/>
  <c r="G4" i="1"/>
  <c r="A22" i="1"/>
  <c r="A18" i="1"/>
  <c r="A14" i="1"/>
  <c r="A10" i="1"/>
  <c r="A6" i="1"/>
  <c r="H22" i="1"/>
  <c r="H18" i="1"/>
  <c r="H14" i="1"/>
  <c r="H10" i="1"/>
  <c r="H6" i="1"/>
  <c r="G23" i="1"/>
  <c r="G19" i="1"/>
  <c r="G15" i="1"/>
  <c r="G11" i="1"/>
  <c r="G7" i="1"/>
  <c r="J3" i="1"/>
  <c r="B21" i="1"/>
  <c r="B17" i="1"/>
  <c r="B13" i="1"/>
  <c r="B8" i="1"/>
  <c r="H3" i="1"/>
  <c r="H20" i="1"/>
  <c r="H8" i="1"/>
  <c r="G21" i="1"/>
  <c r="G13" i="1"/>
  <c r="G5" i="1"/>
  <c r="B19" i="1"/>
  <c r="B10" i="1"/>
  <c r="D11" i="16"/>
  <c r="N8" i="16"/>
  <c r="G57" i="16"/>
  <c r="I47" i="16"/>
  <c r="D40" i="16"/>
  <c r="E35" i="16"/>
  <c r="I30" i="16"/>
  <c r="A26" i="16"/>
  <c r="G21" i="16"/>
  <c r="M16" i="16"/>
  <c r="E12" i="16"/>
  <c r="K7" i="16"/>
  <c r="M55" i="16"/>
  <c r="A51" i="16"/>
  <c r="B46" i="16"/>
  <c r="C41" i="16"/>
  <c r="D36" i="16"/>
  <c r="G31" i="16"/>
  <c r="M26" i="16"/>
  <c r="E22" i="16"/>
  <c r="K17" i="16"/>
  <c r="C13" i="16"/>
  <c r="I8" i="16"/>
  <c r="I55" i="16"/>
  <c r="J50" i="16"/>
  <c r="K45" i="16"/>
  <c r="L40" i="16"/>
  <c r="M35" i="16"/>
  <c r="C31" i="16"/>
  <c r="I26" i="16"/>
  <c r="A22" i="16"/>
  <c r="G17" i="16"/>
  <c r="M12" i="16"/>
  <c r="E8" i="16"/>
  <c r="B54" i="16"/>
  <c r="C49" i="16"/>
  <c r="D44" i="16"/>
  <c r="E39" i="16"/>
  <c r="F34" i="16"/>
  <c r="K29" i="16"/>
  <c r="C25" i="16"/>
  <c r="I20" i="16"/>
  <c r="A16" i="16"/>
  <c r="G11" i="16"/>
  <c r="B12" i="16"/>
  <c r="N10" i="16"/>
  <c r="L9" i="16"/>
  <c r="J8" i="16"/>
  <c r="H7" i="16"/>
  <c r="D56" i="16"/>
  <c r="E51" i="16"/>
  <c r="F46" i="16"/>
  <c r="G41" i="16"/>
  <c r="H36" i="16"/>
  <c r="K31" i="16"/>
  <c r="C27" i="16"/>
  <c r="I22" i="16"/>
  <c r="A18" i="16"/>
  <c r="G13" i="16"/>
  <c r="M8" i="16"/>
  <c r="J54" i="16"/>
  <c r="K49" i="16"/>
  <c r="L44" i="16"/>
  <c r="M39" i="16"/>
  <c r="A35" i="16"/>
  <c r="E30" i="16"/>
  <c r="K25" i="16"/>
  <c r="C21" i="16"/>
  <c r="I16" i="16"/>
  <c r="A12" i="16"/>
  <c r="G7" i="16"/>
  <c r="F54" i="16"/>
  <c r="G49" i="16"/>
  <c r="H44" i="16"/>
  <c r="I39" i="16"/>
  <c r="J34" i="16"/>
  <c r="A30" i="16"/>
  <c r="G25" i="16"/>
  <c r="M20" i="16"/>
  <c r="E16" i="16"/>
  <c r="K11" i="16"/>
  <c r="C7" i="16"/>
  <c r="E55" i="16"/>
  <c r="F50" i="16"/>
  <c r="G45" i="16"/>
  <c r="H40" i="16"/>
  <c r="I35" i="16"/>
  <c r="M30" i="16"/>
  <c r="E26" i="16"/>
  <c r="K21" i="16"/>
  <c r="C17" i="16"/>
  <c r="I12" i="16"/>
  <c r="A8" i="16"/>
  <c r="A23" i="1"/>
  <c r="A19" i="1"/>
  <c r="A15" i="1"/>
  <c r="A11" i="1"/>
  <c r="A7" i="1"/>
  <c r="G3" i="1"/>
  <c r="H21" i="1"/>
  <c r="H17" i="1"/>
  <c r="H13" i="1"/>
  <c r="H9" i="1"/>
  <c r="H5" i="1"/>
  <c r="G22" i="1"/>
  <c r="G18" i="1"/>
  <c r="G14" i="1"/>
  <c r="G10" i="1"/>
  <c r="G6" i="1"/>
  <c r="B3" i="1"/>
  <c r="B20" i="1"/>
  <c r="B16" i="1"/>
  <c r="B12" i="1"/>
  <c r="B7" i="1"/>
  <c r="A3" i="1"/>
  <c r="B24" i="1"/>
  <c r="A20" i="1"/>
  <c r="A16" i="1"/>
  <c r="A12" i="1"/>
  <c r="A8" i="1"/>
  <c r="B4" i="1"/>
  <c r="H16" i="1"/>
  <c r="H12" i="1"/>
  <c r="J4" i="1"/>
  <c r="G17" i="1"/>
  <c r="G9" i="1"/>
  <c r="B23" i="1"/>
  <c r="B15" i="1"/>
  <c r="B6" i="1"/>
  <c r="C3" i="1" l="1"/>
</calcChain>
</file>

<file path=xl/sharedStrings.xml><?xml version="1.0" encoding="utf-8"?>
<sst xmlns="http://schemas.openxmlformats.org/spreadsheetml/2006/main" count="52" uniqueCount="46">
  <si>
    <t>KẾT QUẢ CẤP ĐỘ 2</t>
  </si>
  <si>
    <t>Số lượng</t>
  </si>
  <si>
    <t>Điểm trung bình</t>
  </si>
  <si>
    <t>UB NHÂN DÂN QUẬN BA ĐÌNH</t>
  </si>
  <si>
    <t>PHÒNG GIÁO DỤC VÀ ĐÀO TẠO</t>
  </si>
  <si>
    <t>Vòng sơ loại sự kiện: "Giờ lập trình" dành cho học sinh Tiểu học và THCS
  trên địa bàn quận Ba Đình năm học 2020-2021</t>
  </si>
  <si>
    <t xml:space="preserve">                                                                                                                                                                                                                       </t>
  </si>
  <si>
    <t>STT</t>
  </si>
  <si>
    <t>Họ và tên</t>
  </si>
  <si>
    <t>Tài khoản</t>
  </si>
  <si>
    <t>Khối</t>
  </si>
  <si>
    <t>Lớp</t>
  </si>
  <si>
    <t>Trường</t>
  </si>
  <si>
    <t>Số câu sai</t>
  </si>
  <si>
    <t>Số câu đúng</t>
  </si>
  <si>
    <t>Tổng điểm</t>
  </si>
  <si>
    <t>Điểm tối đa</t>
  </si>
  <si>
    <t>Thời điểm nộp bài</t>
  </si>
  <si>
    <t>Thời gian làm bài (giây)</t>
  </si>
  <si>
    <t>Thời gian làm bài (phút)</t>
  </si>
  <si>
    <t>Vòng cấp trường</t>
  </si>
  <si>
    <t>TH Nguyễn Trung Trực</t>
  </si>
  <si>
    <t>TH Thành Công A</t>
  </si>
  <si>
    <t>TH Thực Nghiệm</t>
  </si>
  <si>
    <t>TH Thành Công B</t>
  </si>
  <si>
    <t>TH Hoàng Diệu</t>
  </si>
  <si>
    <t>TH Ngọc Hà</t>
  </si>
  <si>
    <t>TH Đại Yên</t>
  </si>
  <si>
    <t>TH Hoàng Hoa Thám</t>
  </si>
  <si>
    <t>TH Nguyễn Bá Ngọc</t>
  </si>
  <si>
    <t>TH Nghĩa Dũng</t>
  </si>
  <si>
    <t>TH Vinschool Metropolis</t>
  </si>
  <si>
    <t>TH Kim Đồng</t>
  </si>
  <si>
    <t>TH Việt Nam - Cu Ba</t>
  </si>
  <si>
    <t>TH Nguyễn Tri Phương</t>
  </si>
  <si>
    <t>TH Ngọc Khánh</t>
  </si>
  <si>
    <t>TH Phan Chu Trinh</t>
  </si>
  <si>
    <t>TH Thủ Lệ</t>
  </si>
  <si>
    <t>TH Ba Đình</t>
  </si>
  <si>
    <t>TH Vạn Phúc</t>
  </si>
  <si>
    <t>TH Hà Nội</t>
  </si>
  <si>
    <t>THỐNG KÊ</t>
  </si>
  <si>
    <t>Kết quả vòng sơ loại sự kiện: "Giờ lập trình" dành cho học sinh 
Tiểu học và THCS trên địa bàn quận Ba Đình năm học 2020-2021</t>
  </si>
  <si>
    <t>Tên trường</t>
  </si>
  <si>
    <t>Ghi chú</t>
  </si>
  <si>
    <t>TH Việt Nam Singapore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</si>
</sst>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>
    <font>
      <sz val="11"/>
      <color theme="1"/>
      <name val="Arial"/>
    </font>
    <font>
      <b/>
      <sz val="11"/>
      <color rgb="FF000000"/>
      <name val="Inconsolata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3"/>
      <color rgb="FF000000"/>
      <name val="&quot;Times New Roman&quot;"/>
    </font>
    <font>
      <b/>
      <sz val="13"/>
      <color rgb="FF000000"/>
      <name val="&quot;Times New Roman&quot;"/>
    </font>
    <font>
      <b/>
      <sz val="14"/>
      <color rgb="FF000000"/>
      <name val="Times New Roman"/>
      <family val="1"/>
    </font>
    <font>
      <b/>
      <u/>
      <sz val="1"/>
      <color theme="1"/>
      <name val="Calibri"/>
      <family val="2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FFFFFF"/>
      <name val="Calibri"/>
      <family val="2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 applyAlignment="1"/>
    <xf numFmtId="0" fontId="2" fillId="0" borderId="0" xfId="0" applyFont="1" applyAlignment="1"/>
    <xf numFmtId="0" fontId="3" fillId="0" borderId="0" xfId="0" applyFont="1" applyAlignment="1"/>
    <xf numFmtId="0" fontId="2" fillId="3" borderId="0" xfId="0" applyFont="1" applyFill="1" applyAlignment="1"/>
    <xf numFmtId="0" fontId="0" fillId="0" borderId="0" xfId="0" applyFont="1" applyAlignment="1">
      <alignment horizontal="right"/>
    </xf>
    <xf numFmtId="164" fontId="0" fillId="0" borderId="0" xfId="0" applyNumberFormat="1" applyFont="1" applyAlignme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/>
    <xf numFmtId="1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1" fillId="0" borderId="0" xfId="0" applyFont="1"/>
    <xf numFmtId="0" fontId="10" fillId="0" borderId="1" xfId="0" applyFont="1" applyBorder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164" fontId="12" fillId="0" borderId="2" xfId="0" applyNumberFormat="1" applyFont="1" applyBorder="1"/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/>
    <xf numFmtId="0" fontId="3" fillId="0" borderId="0" xfId="0" applyFont="1" applyAlignment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1924050</xdr:colOff>
      <xdr:row>3</xdr:row>
      <xdr:rowOff>571500</xdr:rowOff>
    </xdr:from>
    <xdr:to>
      <xdr:col>3</xdr:col>
      <xdr:colOff>133350</xdr:colOff>
      <xdr:row>3</xdr:row>
      <xdr:rowOff>571500</xdr:rowOff>
    </xdr:to>
    <xdr:cxnSp macro="">
      <xdr:nvCxnSpPr>
        <xdr:cNvPr id="2" name="Straight Connector 1"/>
        <xdr:cNvCxnSpPr/>
      </xdr:nvCxnSpPr>
      <xdr:spPr>
        <a:xfrm>
          <a:off x="2390775" y="1200150"/>
          <a:ext cx="1409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5"/>
  <sheetViews>
    <sheetView workbookViewId="0">
      <selection activeCell="B31" sqref="B31"/>
    </sheetView>
  </sheetViews>
  <sheetFormatPr defaultColWidth="12.625" defaultRowHeight="15" customHeight="1"/>
  <cols>
    <col min="1" max="1" width="6.125" style="21" customWidth="1"/>
    <col min="2" max="2" width="27.625" style="20" customWidth="1"/>
    <col min="3" max="4" width="14.375" style="20" customWidth="1"/>
    <col min="5" max="5" width="13.75" style="20" customWidth="1"/>
    <col min="6" max="17" width="7.625" style="20" customWidth="1"/>
    <col min="18" max="16384" width="12.625" style="20"/>
  </cols>
  <sheetData>
    <row r="1" spans="1:5" ht="16.5">
      <c r="A1" s="31" t="s">
        <v>3</v>
      </c>
      <c r="B1" s="31"/>
      <c r="C1" s="31"/>
    </row>
    <row r="2" spans="1:5" ht="16.5">
      <c r="A2" s="32" t="s">
        <v>4</v>
      </c>
      <c r="B2" s="32"/>
      <c r="C2" s="32"/>
    </row>
    <row r="3" spans="1:5" ht="16.5">
      <c r="B3" s="32" t="s">
        <v>41</v>
      </c>
      <c r="C3" s="32"/>
      <c r="D3" s="32"/>
      <c r="E3" s="32"/>
    </row>
    <row r="4" spans="1:5" ht="16.5">
      <c r="B4" s="33" t="s">
        <v>42</v>
      </c>
      <c r="C4" s="33"/>
      <c r="D4" s="33"/>
      <c r="E4" s="33"/>
    </row>
    <row r="5" spans="1:5" s="26" customFormat="1" ht="33">
      <c r="A5" s="22" t="s">
        <v>7</v>
      </c>
      <c r="B5" s="23" t="s">
        <v>43</v>
      </c>
      <c r="C5" s="24" t="s">
        <v>1</v>
      </c>
      <c r="D5" s="25" t="s">
        <v>2</v>
      </c>
      <c r="E5" s="25" t="s">
        <v>44</v>
      </c>
    </row>
    <row r="6" spans="1:5" ht="16.5">
      <c r="A6" s="27">
        <v>1</v>
      </c>
      <c r="B6" s="28" t="s">
        <v>38</v>
      </c>
      <c r="C6" s="28">
        <v>11</v>
      </c>
      <c r="D6" s="29">
        <v>64.545454545454504</v>
      </c>
      <c r="E6" s="29"/>
    </row>
    <row r="7" spans="1:5" ht="16.5">
      <c r="A7" s="27">
        <v>2</v>
      </c>
      <c r="B7" s="28" t="s">
        <v>27</v>
      </c>
      <c r="C7" s="28">
        <v>47</v>
      </c>
      <c r="D7" s="29">
        <v>60.319148936170201</v>
      </c>
      <c r="E7" s="29"/>
    </row>
    <row r="8" spans="1:5" ht="16.5">
      <c r="A8" s="27">
        <v>3</v>
      </c>
      <c r="B8" s="28" t="s">
        <v>40</v>
      </c>
      <c r="C8" s="28">
        <v>4</v>
      </c>
      <c r="D8" s="29">
        <v>57.5</v>
      </c>
      <c r="E8" s="29"/>
    </row>
    <row r="9" spans="1:5" ht="16.5">
      <c r="A9" s="27">
        <v>4</v>
      </c>
      <c r="B9" s="28" t="s">
        <v>25</v>
      </c>
      <c r="C9" s="28">
        <v>32</v>
      </c>
      <c r="D9" s="29">
        <v>70.3125</v>
      </c>
      <c r="E9" s="29"/>
    </row>
    <row r="10" spans="1:5" ht="16.5">
      <c r="A10" s="27">
        <v>5</v>
      </c>
      <c r="B10" s="28" t="s">
        <v>28</v>
      </c>
      <c r="C10" s="28">
        <v>22</v>
      </c>
      <c r="D10" s="29">
        <v>64.772727272727195</v>
      </c>
      <c r="E10" s="29"/>
    </row>
    <row r="11" spans="1:5" ht="16.5">
      <c r="A11" s="27">
        <v>6</v>
      </c>
      <c r="B11" s="28" t="s">
        <v>32</v>
      </c>
      <c r="C11" s="28">
        <v>96</v>
      </c>
      <c r="D11" s="29">
        <v>64.6354166666666</v>
      </c>
      <c r="E11" s="29"/>
    </row>
    <row r="12" spans="1:5" ht="16.5">
      <c r="A12" s="27">
        <v>7</v>
      </c>
      <c r="B12" s="28" t="s">
        <v>30</v>
      </c>
      <c r="C12" s="28">
        <v>34</v>
      </c>
      <c r="D12" s="29">
        <v>57.058823529411697</v>
      </c>
      <c r="E12" s="29"/>
    </row>
    <row r="13" spans="1:5" ht="16.5">
      <c r="A13" s="27">
        <v>8</v>
      </c>
      <c r="B13" s="28" t="s">
        <v>26</v>
      </c>
      <c r="C13" s="28">
        <v>33</v>
      </c>
      <c r="D13" s="29">
        <v>65.454545454545396</v>
      </c>
      <c r="E13" s="29"/>
    </row>
    <row r="14" spans="1:5" ht="16.5">
      <c r="A14" s="27">
        <v>9</v>
      </c>
      <c r="B14" s="28" t="s">
        <v>35</v>
      </c>
      <c r="C14" s="28">
        <v>62</v>
      </c>
      <c r="D14" s="29">
        <v>60.806451612903203</v>
      </c>
      <c r="E14" s="29"/>
    </row>
    <row r="15" spans="1:5" ht="16.5">
      <c r="A15" s="27">
        <v>10</v>
      </c>
      <c r="B15" s="28" t="s">
        <v>29</v>
      </c>
      <c r="C15" s="28">
        <v>19</v>
      </c>
      <c r="D15" s="29">
        <v>60</v>
      </c>
      <c r="E15" s="29"/>
    </row>
    <row r="16" spans="1:5" ht="16.5">
      <c r="A16" s="27">
        <v>11</v>
      </c>
      <c r="B16" s="28" t="s">
        <v>34</v>
      </c>
      <c r="C16" s="28">
        <v>55</v>
      </c>
      <c r="D16" s="29">
        <v>65.636363636363598</v>
      </c>
      <c r="E16" s="29"/>
    </row>
    <row r="17" spans="1:5" ht="16.5">
      <c r="A17" s="27">
        <v>12</v>
      </c>
      <c r="B17" s="28" t="s">
        <v>21</v>
      </c>
      <c r="C17" s="28">
        <v>32</v>
      </c>
      <c r="D17" s="29">
        <v>62.1875</v>
      </c>
      <c r="E17" s="29"/>
    </row>
    <row r="18" spans="1:5" ht="16.5">
      <c r="A18" s="27">
        <v>13</v>
      </c>
      <c r="B18" s="28" t="s">
        <v>36</v>
      </c>
      <c r="C18" s="28">
        <v>44</v>
      </c>
      <c r="D18" s="29">
        <v>53.863636363636303</v>
      </c>
      <c r="E18" s="29"/>
    </row>
    <row r="19" spans="1:5" ht="16.5">
      <c r="A19" s="27">
        <v>14</v>
      </c>
      <c r="B19" s="28" t="s">
        <v>22</v>
      </c>
      <c r="C19" s="28">
        <v>52</v>
      </c>
      <c r="D19" s="29">
        <v>66.634615384615302</v>
      </c>
      <c r="E19" s="29"/>
    </row>
    <row r="20" spans="1:5" ht="16.5">
      <c r="A20" s="27">
        <v>15</v>
      </c>
      <c r="B20" s="28" t="s">
        <v>24</v>
      </c>
      <c r="C20" s="28">
        <v>26</v>
      </c>
      <c r="D20" s="29">
        <v>69.038461538461505</v>
      </c>
      <c r="E20" s="29"/>
    </row>
    <row r="21" spans="1:5" ht="16.5">
      <c r="A21" s="27">
        <v>16</v>
      </c>
      <c r="B21" s="28" t="s">
        <v>37</v>
      </c>
      <c r="C21" s="28">
        <v>9</v>
      </c>
      <c r="D21" s="29">
        <v>68.8888888888888</v>
      </c>
      <c r="E21" s="29"/>
    </row>
    <row r="22" spans="1:5" ht="16.5">
      <c r="A22" s="27">
        <v>17</v>
      </c>
      <c r="B22" s="28" t="s">
        <v>23</v>
      </c>
      <c r="C22" s="28">
        <v>29</v>
      </c>
      <c r="D22" s="29">
        <v>68.965517241379303</v>
      </c>
      <c r="E22" s="29"/>
    </row>
    <row r="23" spans="1:5" ht="16.5">
      <c r="A23" s="27">
        <v>18</v>
      </c>
      <c r="B23" s="28" t="s">
        <v>39</v>
      </c>
      <c r="C23" s="28">
        <v>14</v>
      </c>
      <c r="D23" s="29">
        <v>62.5</v>
      </c>
      <c r="E23" s="29"/>
    </row>
    <row r="24" spans="1:5" ht="16.5">
      <c r="A24" s="27">
        <v>19</v>
      </c>
      <c r="B24" s="28" t="s">
        <v>33</v>
      </c>
      <c r="C24" s="28">
        <v>24</v>
      </c>
      <c r="D24" s="29">
        <v>61.4583333333333</v>
      </c>
      <c r="E24" s="29"/>
    </row>
    <row r="25" spans="1:5" ht="16.5">
      <c r="A25" s="27">
        <v>20</v>
      </c>
      <c r="B25" s="28" t="s">
        <v>31</v>
      </c>
      <c r="C25" s="28">
        <v>7</v>
      </c>
      <c r="D25" s="29">
        <v>80</v>
      </c>
      <c r="E25" s="29"/>
    </row>
    <row r="26" spans="1:5" ht="16.5">
      <c r="A26" s="27">
        <v>20</v>
      </c>
      <c r="B26" s="28" t="s">
        <v>45</v>
      </c>
      <c r="C26" s="28">
        <v>0</v>
      </c>
      <c r="D26" s="29">
        <v>0</v>
      </c>
      <c r="E26" s="29"/>
    </row>
    <row r="27" spans="1:5" ht="16.5">
      <c r="D27" s="30"/>
    </row>
    <row r="28" spans="1:5" ht="16.5">
      <c r="D28" s="30"/>
    </row>
    <row r="29" spans="1:5" ht="16.5">
      <c r="D29" s="30"/>
    </row>
    <row r="30" spans="1:5" ht="16.5">
      <c r="D30" s="30"/>
    </row>
    <row r="31" spans="1:5" ht="16.5">
      <c r="D31" s="30"/>
    </row>
    <row r="32" spans="1:5" ht="16.5">
      <c r="D32" s="30"/>
    </row>
    <row r="33" spans="4:4" ht="16.5">
      <c r="D33" s="30"/>
    </row>
    <row r="34" spans="4:4" ht="16.5">
      <c r="D34" s="30"/>
    </row>
    <row r="35" spans="4:4" ht="16.5">
      <c r="D35" s="30"/>
    </row>
    <row r="36" spans="4:4" ht="16.5">
      <c r="D36" s="30"/>
    </row>
    <row r="37" spans="4:4" ht="16.5">
      <c r="D37" s="30"/>
    </row>
    <row r="38" spans="4:4" ht="16.5">
      <c r="D38" s="30"/>
    </row>
    <row r="39" spans="4:4" ht="16.5">
      <c r="D39" s="30"/>
    </row>
    <row r="40" spans="4:4" ht="16.5">
      <c r="D40" s="30"/>
    </row>
    <row r="41" spans="4:4" ht="16.5">
      <c r="D41" s="30"/>
    </row>
    <row r="42" spans="4:4" ht="16.5">
      <c r="D42" s="30"/>
    </row>
    <row r="43" spans="4:4" ht="16.5">
      <c r="D43" s="30"/>
    </row>
    <row r="44" spans="4:4" ht="16.5">
      <c r="D44" s="30"/>
    </row>
    <row r="45" spans="4:4" ht="16.5">
      <c r="D45" s="30"/>
    </row>
    <row r="46" spans="4:4" ht="16.5">
      <c r="D46" s="30"/>
    </row>
    <row r="47" spans="4:4" ht="16.5">
      <c r="D47" s="30"/>
    </row>
    <row r="48" spans="4:4" ht="16.5">
      <c r="D48" s="30"/>
    </row>
    <row r="49" spans="4:4" ht="16.5">
      <c r="D49" s="30"/>
    </row>
    <row r="50" spans="4:4" ht="16.5">
      <c r="D50" s="30"/>
    </row>
    <row r="51" spans="4:4" ht="16.5">
      <c r="D51" s="30"/>
    </row>
    <row r="52" spans="4:4" ht="16.5">
      <c r="D52" s="30"/>
    </row>
    <row r="53" spans="4:4" ht="16.5">
      <c r="D53" s="30"/>
    </row>
    <row r="54" spans="4:4" ht="16.5">
      <c r="D54" s="30"/>
    </row>
    <row r="55" spans="4:4" ht="16.5">
      <c r="D55" s="30"/>
    </row>
    <row r="56" spans="4:4" ht="16.5">
      <c r="D56" s="30"/>
    </row>
    <row r="57" spans="4:4" ht="16.5">
      <c r="D57" s="30"/>
    </row>
    <row r="58" spans="4:4" ht="16.5">
      <c r="D58" s="30"/>
    </row>
    <row r="59" spans="4:4" ht="16.5">
      <c r="D59" s="30"/>
    </row>
    <row r="60" spans="4:4" ht="16.5">
      <c r="D60" s="30"/>
    </row>
    <row r="61" spans="4:4" ht="16.5">
      <c r="D61" s="30"/>
    </row>
    <row r="62" spans="4:4" ht="16.5">
      <c r="D62" s="30"/>
    </row>
    <row r="63" spans="4:4" ht="16.5">
      <c r="D63" s="30"/>
    </row>
    <row r="64" spans="4:4" ht="16.5">
      <c r="D64" s="30"/>
    </row>
    <row r="65" spans="4:4" ht="16.5">
      <c r="D65" s="30"/>
    </row>
    <row r="66" spans="4:4" ht="16.5">
      <c r="D66" s="30"/>
    </row>
    <row r="67" spans="4:4" ht="16.5">
      <c r="D67" s="30"/>
    </row>
    <row r="68" spans="4:4" ht="16.5">
      <c r="D68" s="30"/>
    </row>
    <row r="69" spans="4:4" ht="16.5">
      <c r="D69" s="30"/>
    </row>
    <row r="70" spans="4:4" ht="16.5">
      <c r="D70" s="30"/>
    </row>
    <row r="71" spans="4:4" ht="16.5">
      <c r="D71" s="30"/>
    </row>
    <row r="72" spans="4:4" ht="16.5">
      <c r="D72" s="30"/>
    </row>
    <row r="73" spans="4:4" ht="16.5">
      <c r="D73" s="30"/>
    </row>
    <row r="74" spans="4:4" ht="16.5">
      <c r="D74" s="30"/>
    </row>
    <row r="75" spans="4:4" ht="16.5">
      <c r="D75" s="30"/>
    </row>
    <row r="76" spans="4:4" ht="16.5">
      <c r="D76" s="30"/>
    </row>
    <row r="77" spans="4:4" ht="16.5">
      <c r="D77" s="30"/>
    </row>
    <row r="78" spans="4:4" ht="16.5">
      <c r="D78" s="30"/>
    </row>
    <row r="79" spans="4:4" ht="16.5">
      <c r="D79" s="30"/>
    </row>
    <row r="80" spans="4:4" ht="16.5">
      <c r="D80" s="30"/>
    </row>
    <row r="81" spans="4:4" ht="16.5">
      <c r="D81" s="30"/>
    </row>
    <row r="82" spans="4:4" ht="16.5">
      <c r="D82" s="30"/>
    </row>
    <row r="83" spans="4:4" ht="16.5">
      <c r="D83" s="30"/>
    </row>
    <row r="84" spans="4:4" ht="16.5">
      <c r="D84" s="30"/>
    </row>
    <row r="85" spans="4:4" ht="16.5">
      <c r="D85" s="30"/>
    </row>
    <row r="86" spans="4:4" ht="16.5">
      <c r="D86" s="30"/>
    </row>
    <row r="87" spans="4:4" ht="16.5">
      <c r="D87" s="30"/>
    </row>
    <row r="88" spans="4:4" ht="16.5">
      <c r="D88" s="30"/>
    </row>
    <row r="89" spans="4:4" ht="16.5">
      <c r="D89" s="30"/>
    </row>
    <row r="90" spans="4:4" ht="16.5">
      <c r="D90" s="30"/>
    </row>
    <row r="91" spans="4:4" ht="16.5">
      <c r="D91" s="30"/>
    </row>
    <row r="92" spans="4:4" ht="16.5">
      <c r="D92" s="30"/>
    </row>
    <row r="93" spans="4:4" ht="16.5">
      <c r="D93" s="30"/>
    </row>
    <row r="94" spans="4:4" ht="16.5">
      <c r="D94" s="30"/>
    </row>
    <row r="95" spans="4:4" ht="16.5">
      <c r="D95" s="30"/>
    </row>
    <row r="96" spans="4:4" ht="16.5">
      <c r="D96" s="30"/>
    </row>
    <row r="97" spans="4:4" ht="16.5">
      <c r="D97" s="30"/>
    </row>
    <row r="98" spans="4:4" ht="16.5">
      <c r="D98" s="30"/>
    </row>
    <row r="99" spans="4:4" ht="16.5">
      <c r="D99" s="30"/>
    </row>
    <row r="100" spans="4:4" ht="16.5">
      <c r="D100" s="30"/>
    </row>
    <row r="101" spans="4:4" ht="16.5">
      <c r="D101" s="30"/>
    </row>
    <row r="102" spans="4:4" ht="16.5">
      <c r="D102" s="30"/>
    </row>
    <row r="103" spans="4:4" ht="16.5">
      <c r="D103" s="30"/>
    </row>
    <row r="104" spans="4:4" ht="16.5">
      <c r="D104" s="30"/>
    </row>
    <row r="105" spans="4:4" ht="16.5">
      <c r="D105" s="30"/>
    </row>
    <row r="106" spans="4:4" ht="16.5">
      <c r="D106" s="30"/>
    </row>
    <row r="107" spans="4:4" ht="16.5">
      <c r="D107" s="30"/>
    </row>
    <row r="108" spans="4:4" ht="16.5">
      <c r="D108" s="30"/>
    </row>
    <row r="109" spans="4:4" ht="16.5">
      <c r="D109" s="30"/>
    </row>
    <row r="110" spans="4:4" ht="16.5">
      <c r="D110" s="30"/>
    </row>
    <row r="111" spans="4:4" ht="16.5">
      <c r="D111" s="30"/>
    </row>
    <row r="112" spans="4:4" ht="16.5">
      <c r="D112" s="30"/>
    </row>
    <row r="113" spans="4:4" ht="16.5">
      <c r="D113" s="30"/>
    </row>
    <row r="114" spans="4:4" ht="16.5">
      <c r="D114" s="30"/>
    </row>
    <row r="115" spans="4:4" ht="16.5">
      <c r="D115" s="30"/>
    </row>
    <row r="116" spans="4:4" ht="16.5">
      <c r="D116" s="30"/>
    </row>
    <row r="117" spans="4:4" ht="16.5">
      <c r="D117" s="30"/>
    </row>
    <row r="118" spans="4:4" ht="16.5">
      <c r="D118" s="30"/>
    </row>
    <row r="119" spans="4:4" ht="16.5">
      <c r="D119" s="30"/>
    </row>
    <row r="120" spans="4:4" ht="16.5">
      <c r="D120" s="30"/>
    </row>
    <row r="121" spans="4:4" ht="16.5">
      <c r="D121" s="30"/>
    </row>
    <row r="122" spans="4:4" ht="16.5">
      <c r="D122" s="30"/>
    </row>
    <row r="123" spans="4:4" ht="16.5">
      <c r="D123" s="30"/>
    </row>
    <row r="124" spans="4:4" ht="16.5">
      <c r="D124" s="30"/>
    </row>
    <row r="125" spans="4:4" ht="16.5">
      <c r="D125" s="30"/>
    </row>
    <row r="126" spans="4:4" ht="16.5">
      <c r="D126" s="30"/>
    </row>
    <row r="127" spans="4:4" ht="16.5">
      <c r="D127" s="30"/>
    </row>
    <row r="128" spans="4:4" ht="16.5">
      <c r="D128" s="30"/>
    </row>
    <row r="129" spans="4:4" ht="16.5">
      <c r="D129" s="30"/>
    </row>
    <row r="130" spans="4:4" ht="16.5">
      <c r="D130" s="30"/>
    </row>
    <row r="131" spans="4:4" ht="16.5">
      <c r="D131" s="30"/>
    </row>
    <row r="132" spans="4:4" ht="16.5">
      <c r="D132" s="30"/>
    </row>
    <row r="133" spans="4:4" ht="16.5">
      <c r="D133" s="30"/>
    </row>
    <row r="134" spans="4:4" ht="16.5">
      <c r="D134" s="30"/>
    </row>
    <row r="135" spans="4:4" ht="16.5">
      <c r="D135" s="30"/>
    </row>
    <row r="136" spans="4:4" ht="16.5">
      <c r="D136" s="30"/>
    </row>
    <row r="137" spans="4:4" ht="16.5">
      <c r="D137" s="30"/>
    </row>
    <row r="138" spans="4:4" ht="16.5">
      <c r="D138" s="30"/>
    </row>
    <row r="139" spans="4:4" ht="16.5">
      <c r="D139" s="30"/>
    </row>
    <row r="140" spans="4:4" ht="16.5">
      <c r="D140" s="30"/>
    </row>
    <row r="141" spans="4:4" ht="16.5">
      <c r="D141" s="30"/>
    </row>
    <row r="142" spans="4:4" ht="16.5">
      <c r="D142" s="30"/>
    </row>
    <row r="143" spans="4:4" ht="16.5">
      <c r="D143" s="30"/>
    </row>
    <row r="144" spans="4:4" ht="16.5">
      <c r="D144" s="30"/>
    </row>
    <row r="145" spans="4:4" ht="16.5">
      <c r="D145" s="30"/>
    </row>
    <row r="146" spans="4:4" ht="16.5">
      <c r="D146" s="30"/>
    </row>
    <row r="147" spans="4:4" ht="16.5">
      <c r="D147" s="30"/>
    </row>
    <row r="148" spans="4:4" ht="16.5">
      <c r="D148" s="30"/>
    </row>
    <row r="149" spans="4:4" ht="16.5">
      <c r="D149" s="30"/>
    </row>
    <row r="150" spans="4:4" ht="16.5">
      <c r="D150" s="30"/>
    </row>
    <row r="151" spans="4:4" ht="16.5">
      <c r="D151" s="30"/>
    </row>
    <row r="152" spans="4:4" ht="16.5">
      <c r="D152" s="30"/>
    </row>
    <row r="153" spans="4:4" ht="16.5">
      <c r="D153" s="30"/>
    </row>
    <row r="154" spans="4:4" ht="16.5">
      <c r="D154" s="30"/>
    </row>
    <row r="155" spans="4:4" ht="16.5">
      <c r="D155" s="30"/>
    </row>
    <row r="156" spans="4:4" ht="16.5">
      <c r="D156" s="30"/>
    </row>
    <row r="157" spans="4:4" ht="16.5">
      <c r="D157" s="30"/>
    </row>
    <row r="158" spans="4:4" ht="16.5">
      <c r="D158" s="30"/>
    </row>
    <row r="159" spans="4:4" ht="16.5">
      <c r="D159" s="30"/>
    </row>
    <row r="160" spans="4:4" ht="16.5">
      <c r="D160" s="30"/>
    </row>
    <row r="161" spans="4:4" ht="16.5">
      <c r="D161" s="30"/>
    </row>
    <row r="162" spans="4:4" ht="16.5">
      <c r="D162" s="30"/>
    </row>
    <row r="163" spans="4:4" ht="16.5">
      <c r="D163" s="30"/>
    </row>
    <row r="164" spans="4:4" ht="16.5">
      <c r="D164" s="30"/>
    </row>
    <row r="165" spans="4:4" ht="16.5">
      <c r="D165" s="30"/>
    </row>
    <row r="166" spans="4:4" ht="16.5">
      <c r="D166" s="30"/>
    </row>
    <row r="167" spans="4:4" ht="16.5">
      <c r="D167" s="30"/>
    </row>
    <row r="168" spans="4:4" ht="16.5">
      <c r="D168" s="30"/>
    </row>
    <row r="169" spans="4:4" ht="16.5">
      <c r="D169" s="30"/>
    </row>
    <row r="170" spans="4:4" ht="16.5">
      <c r="D170" s="30"/>
    </row>
    <row r="171" spans="4:4" ht="16.5">
      <c r="D171" s="30"/>
    </row>
    <row r="172" spans="4:4" ht="16.5">
      <c r="D172" s="30"/>
    </row>
    <row r="173" spans="4:4" ht="16.5">
      <c r="D173" s="30"/>
    </row>
    <row r="174" spans="4:4" ht="16.5">
      <c r="D174" s="30"/>
    </row>
    <row r="175" spans="4:4" ht="16.5">
      <c r="D175" s="30"/>
    </row>
    <row r="176" spans="4:4" ht="16.5">
      <c r="D176" s="30"/>
    </row>
    <row r="177" spans="4:4" ht="16.5">
      <c r="D177" s="30"/>
    </row>
    <row r="178" spans="4:4" ht="16.5">
      <c r="D178" s="30"/>
    </row>
    <row r="179" spans="4:4" ht="16.5">
      <c r="D179" s="30"/>
    </row>
    <row r="180" spans="4:4" ht="16.5">
      <c r="D180" s="30"/>
    </row>
    <row r="181" spans="4:4" ht="16.5">
      <c r="D181" s="30"/>
    </row>
    <row r="182" spans="4:4" ht="16.5">
      <c r="D182" s="30"/>
    </row>
    <row r="183" spans="4:4" ht="16.5">
      <c r="D183" s="30"/>
    </row>
    <row r="184" spans="4:4" ht="16.5">
      <c r="D184" s="30"/>
    </row>
    <row r="185" spans="4:4" ht="16.5">
      <c r="D185" s="30"/>
    </row>
    <row r="186" spans="4:4" ht="16.5">
      <c r="D186" s="30"/>
    </row>
    <row r="187" spans="4:4" ht="16.5">
      <c r="D187" s="30"/>
    </row>
    <row r="188" spans="4:4" ht="16.5">
      <c r="D188" s="30"/>
    </row>
    <row r="189" spans="4:4" ht="16.5">
      <c r="D189" s="30"/>
    </row>
    <row r="190" spans="4:4" ht="16.5">
      <c r="D190" s="30"/>
    </row>
    <row r="191" spans="4:4" ht="16.5">
      <c r="D191" s="30"/>
    </row>
    <row r="192" spans="4:4" ht="16.5">
      <c r="D192" s="30"/>
    </row>
    <row r="193" spans="4:4" ht="16.5">
      <c r="D193" s="30"/>
    </row>
    <row r="194" spans="4:4" ht="16.5">
      <c r="D194" s="30"/>
    </row>
    <row r="195" spans="4:4" ht="16.5">
      <c r="D195" s="30"/>
    </row>
    <row r="196" spans="4:4" ht="16.5">
      <c r="D196" s="30"/>
    </row>
    <row r="197" spans="4:4" ht="16.5">
      <c r="D197" s="30"/>
    </row>
    <row r="198" spans="4:4" ht="16.5">
      <c r="D198" s="30"/>
    </row>
    <row r="199" spans="4:4" ht="16.5">
      <c r="D199" s="30"/>
    </row>
    <row r="200" spans="4:4" ht="16.5">
      <c r="D200" s="30"/>
    </row>
    <row r="201" spans="4:4" ht="16.5">
      <c r="D201" s="30"/>
    </row>
    <row r="202" spans="4:4" ht="16.5">
      <c r="D202" s="30"/>
    </row>
    <row r="203" spans="4:4" ht="16.5">
      <c r="D203" s="30"/>
    </row>
    <row r="204" spans="4:4" ht="16.5">
      <c r="D204" s="30"/>
    </row>
    <row r="205" spans="4:4" ht="16.5">
      <c r="D205" s="30"/>
    </row>
    <row r="206" spans="4:4" ht="16.5">
      <c r="D206" s="30"/>
    </row>
    <row r="207" spans="4:4" ht="16.5">
      <c r="D207" s="30"/>
    </row>
    <row r="208" spans="4:4" ht="16.5">
      <c r="D208" s="30"/>
    </row>
    <row r="209" spans="4:4" ht="16.5">
      <c r="D209" s="30"/>
    </row>
    <row r="210" spans="4:4" ht="16.5">
      <c r="D210" s="30"/>
    </row>
    <row r="211" spans="4:4" ht="16.5">
      <c r="D211" s="30"/>
    </row>
    <row r="212" spans="4:4" ht="16.5">
      <c r="D212" s="30"/>
    </row>
    <row r="213" spans="4:4" ht="16.5">
      <c r="D213" s="30"/>
    </row>
    <row r="214" spans="4:4" ht="16.5">
      <c r="D214" s="30"/>
    </row>
    <row r="215" spans="4:4" ht="16.5">
      <c r="D215" s="30"/>
    </row>
    <row r="216" spans="4:4" ht="16.5">
      <c r="D216" s="30"/>
    </row>
    <row r="217" spans="4:4" ht="16.5">
      <c r="D217" s="30"/>
    </row>
    <row r="218" spans="4:4" ht="16.5">
      <c r="D218" s="30"/>
    </row>
    <row r="219" spans="4:4" ht="16.5">
      <c r="D219" s="30"/>
    </row>
    <row r="220" spans="4:4" ht="16.5">
      <c r="D220" s="30"/>
    </row>
    <row r="221" spans="4:4" ht="16.5">
      <c r="D221" s="30"/>
    </row>
    <row r="222" spans="4:4" ht="16.5">
      <c r="D222" s="30"/>
    </row>
    <row r="223" spans="4:4" ht="16.5">
      <c r="D223" s="30"/>
    </row>
    <row r="224" spans="4:4" ht="16.5">
      <c r="D224" s="30"/>
    </row>
    <row r="225" spans="4:4" ht="16.5">
      <c r="D225" s="30"/>
    </row>
    <row r="226" spans="4:4" ht="16.5">
      <c r="D226" s="30"/>
    </row>
    <row r="227" spans="4:4" ht="16.5">
      <c r="D227" s="30"/>
    </row>
    <row r="228" spans="4:4" ht="16.5">
      <c r="D228" s="30"/>
    </row>
    <row r="229" spans="4:4" ht="16.5">
      <c r="D229" s="30"/>
    </row>
    <row r="230" spans="4:4" ht="16.5">
      <c r="D230" s="30"/>
    </row>
    <row r="231" spans="4:4" ht="16.5">
      <c r="D231" s="30"/>
    </row>
    <row r="232" spans="4:4" ht="16.5">
      <c r="D232" s="30"/>
    </row>
    <row r="233" spans="4:4" ht="16.5">
      <c r="D233" s="30"/>
    </row>
    <row r="234" spans="4:4" ht="16.5">
      <c r="D234" s="30"/>
    </row>
    <row r="235" spans="4:4" ht="16.5">
      <c r="D235" s="30"/>
    </row>
    <row r="236" spans="4:4" ht="16.5">
      <c r="D236" s="30"/>
    </row>
    <row r="237" spans="4:4" ht="16.5">
      <c r="D237" s="30"/>
    </row>
    <row r="238" spans="4:4" ht="16.5">
      <c r="D238" s="30"/>
    </row>
    <row r="239" spans="4:4" ht="16.5">
      <c r="D239" s="30"/>
    </row>
    <row r="240" spans="4:4" ht="16.5">
      <c r="D240" s="30"/>
    </row>
    <row r="241" spans="4:4" ht="16.5">
      <c r="D241" s="30"/>
    </row>
    <row r="242" spans="4:4" ht="16.5">
      <c r="D242" s="30"/>
    </row>
    <row r="243" spans="4:4" ht="16.5">
      <c r="D243" s="30"/>
    </row>
    <row r="244" spans="4:4" ht="16.5">
      <c r="D244" s="30"/>
    </row>
    <row r="245" spans="4:4" ht="16.5">
      <c r="D245" s="30"/>
    </row>
    <row r="246" spans="4:4" ht="16.5">
      <c r="D246" s="30"/>
    </row>
    <row r="247" spans="4:4" ht="16.5">
      <c r="D247" s="30"/>
    </row>
    <row r="248" spans="4:4" ht="16.5">
      <c r="D248" s="30"/>
    </row>
    <row r="249" spans="4:4" ht="16.5">
      <c r="D249" s="30"/>
    </row>
    <row r="250" spans="4:4" ht="16.5">
      <c r="D250" s="30"/>
    </row>
    <row r="251" spans="4:4" ht="16.5">
      <c r="D251" s="30"/>
    </row>
    <row r="252" spans="4:4" ht="16.5">
      <c r="D252" s="30"/>
    </row>
    <row r="253" spans="4:4" ht="16.5">
      <c r="D253" s="30"/>
    </row>
    <row r="254" spans="4:4" ht="16.5">
      <c r="D254" s="30"/>
    </row>
    <row r="255" spans="4:4" ht="16.5">
      <c r="D255" s="30"/>
    </row>
    <row r="256" spans="4:4" ht="16.5">
      <c r="D256" s="30"/>
    </row>
    <row r="257" spans="4:4" ht="16.5">
      <c r="D257" s="30"/>
    </row>
    <row r="258" spans="4:4" ht="16.5">
      <c r="D258" s="30"/>
    </row>
    <row r="259" spans="4:4" ht="16.5">
      <c r="D259" s="30"/>
    </row>
    <row r="260" spans="4:4" ht="16.5">
      <c r="D260" s="30"/>
    </row>
    <row r="261" spans="4:4" ht="16.5">
      <c r="D261" s="30"/>
    </row>
    <row r="262" spans="4:4" ht="16.5">
      <c r="D262" s="30"/>
    </row>
    <row r="263" spans="4:4" ht="16.5">
      <c r="D263" s="30"/>
    </row>
    <row r="264" spans="4:4" ht="16.5">
      <c r="D264" s="30"/>
    </row>
    <row r="265" spans="4:4" ht="16.5">
      <c r="D265" s="30"/>
    </row>
    <row r="266" spans="4:4" ht="16.5">
      <c r="D266" s="30"/>
    </row>
    <row r="267" spans="4:4" ht="16.5">
      <c r="D267" s="30"/>
    </row>
    <row r="268" spans="4:4" ht="16.5">
      <c r="D268" s="30"/>
    </row>
    <row r="269" spans="4:4" ht="16.5">
      <c r="D269" s="30"/>
    </row>
    <row r="270" spans="4:4" ht="16.5">
      <c r="D270" s="30"/>
    </row>
    <row r="271" spans="4:4" ht="16.5">
      <c r="D271" s="30"/>
    </row>
    <row r="272" spans="4:4" ht="16.5">
      <c r="D272" s="30"/>
    </row>
    <row r="273" spans="4:4" ht="16.5">
      <c r="D273" s="30"/>
    </row>
    <row r="274" spans="4:4" ht="16.5">
      <c r="D274" s="30"/>
    </row>
    <row r="275" spans="4:4" ht="16.5">
      <c r="D275" s="30"/>
    </row>
    <row r="276" spans="4:4" ht="16.5">
      <c r="D276" s="30"/>
    </row>
    <row r="277" spans="4:4" ht="16.5">
      <c r="D277" s="30"/>
    </row>
    <row r="278" spans="4:4" ht="16.5">
      <c r="D278" s="30"/>
    </row>
    <row r="279" spans="4:4" ht="16.5">
      <c r="D279" s="30"/>
    </row>
    <row r="280" spans="4:4" ht="16.5">
      <c r="D280" s="30"/>
    </row>
    <row r="281" spans="4:4" ht="16.5">
      <c r="D281" s="30"/>
    </row>
    <row r="282" spans="4:4" ht="16.5">
      <c r="D282" s="30"/>
    </row>
    <row r="283" spans="4:4" ht="16.5">
      <c r="D283" s="30"/>
    </row>
    <row r="284" spans="4:4" ht="16.5">
      <c r="D284" s="30"/>
    </row>
    <row r="285" spans="4:4" ht="16.5">
      <c r="D285" s="30"/>
    </row>
    <row r="286" spans="4:4" ht="16.5">
      <c r="D286" s="30"/>
    </row>
    <row r="287" spans="4:4" ht="16.5">
      <c r="D287" s="30"/>
    </row>
    <row r="288" spans="4:4" ht="16.5">
      <c r="D288" s="30"/>
    </row>
    <row r="289" spans="4:4" ht="16.5">
      <c r="D289" s="30"/>
    </row>
    <row r="290" spans="4:4" ht="16.5">
      <c r="D290" s="30"/>
    </row>
    <row r="291" spans="4:4" ht="16.5">
      <c r="D291" s="30"/>
    </row>
    <row r="292" spans="4:4" ht="16.5">
      <c r="D292" s="30"/>
    </row>
    <row r="293" spans="4:4" ht="16.5">
      <c r="D293" s="30"/>
    </row>
    <row r="294" spans="4:4" ht="16.5">
      <c r="D294" s="30"/>
    </row>
    <row r="295" spans="4:4" ht="16.5">
      <c r="D295" s="30"/>
    </row>
    <row r="296" spans="4:4" ht="16.5">
      <c r="D296" s="30"/>
    </row>
    <row r="297" spans="4:4" ht="16.5">
      <c r="D297" s="30"/>
    </row>
    <row r="298" spans="4:4" ht="16.5">
      <c r="D298" s="30"/>
    </row>
    <row r="299" spans="4:4" ht="16.5">
      <c r="D299" s="30"/>
    </row>
    <row r="300" spans="4:4" ht="16.5">
      <c r="D300" s="30"/>
    </row>
    <row r="301" spans="4:4" ht="16.5">
      <c r="D301" s="30"/>
    </row>
    <row r="302" spans="4:4" ht="16.5">
      <c r="D302" s="30"/>
    </row>
    <row r="303" spans="4:4" ht="16.5">
      <c r="D303" s="30"/>
    </row>
    <row r="304" spans="4:4" ht="16.5">
      <c r="D304" s="30"/>
    </row>
    <row r="305" spans="4:4" ht="16.5">
      <c r="D305" s="30"/>
    </row>
    <row r="306" spans="4:4" ht="16.5">
      <c r="D306" s="30"/>
    </row>
    <row r="307" spans="4:4" ht="16.5">
      <c r="D307" s="30"/>
    </row>
    <row r="308" spans="4:4" ht="16.5">
      <c r="D308" s="30"/>
    </row>
    <row r="309" spans="4:4" ht="16.5">
      <c r="D309" s="30"/>
    </row>
    <row r="310" spans="4:4" ht="16.5">
      <c r="D310" s="30"/>
    </row>
    <row r="311" spans="4:4" ht="16.5">
      <c r="D311" s="30"/>
    </row>
    <row r="312" spans="4:4" ht="16.5">
      <c r="D312" s="30"/>
    </row>
    <row r="313" spans="4:4" ht="16.5">
      <c r="D313" s="30"/>
    </row>
    <row r="314" spans="4:4" ht="16.5">
      <c r="D314" s="30"/>
    </row>
    <row r="315" spans="4:4" ht="16.5">
      <c r="D315" s="30"/>
    </row>
    <row r="316" spans="4:4" ht="16.5">
      <c r="D316" s="30"/>
    </row>
    <row r="317" spans="4:4" ht="16.5">
      <c r="D317" s="30"/>
    </row>
    <row r="318" spans="4:4" ht="16.5">
      <c r="D318" s="30"/>
    </row>
    <row r="319" spans="4:4" ht="16.5">
      <c r="D319" s="30"/>
    </row>
    <row r="320" spans="4:4" ht="16.5">
      <c r="D320" s="30"/>
    </row>
    <row r="321" spans="4:4" ht="16.5">
      <c r="D321" s="30"/>
    </row>
    <row r="322" spans="4:4" ht="16.5">
      <c r="D322" s="30"/>
    </row>
    <row r="323" spans="4:4" ht="16.5">
      <c r="D323" s="30"/>
    </row>
    <row r="324" spans="4:4" ht="16.5">
      <c r="D324" s="30"/>
    </row>
    <row r="325" spans="4:4" ht="16.5">
      <c r="D325" s="30"/>
    </row>
    <row r="326" spans="4:4" ht="16.5">
      <c r="D326" s="30"/>
    </row>
    <row r="327" spans="4:4" ht="16.5">
      <c r="D327" s="30"/>
    </row>
    <row r="328" spans="4:4" ht="16.5">
      <c r="D328" s="30"/>
    </row>
    <row r="329" spans="4:4" ht="16.5">
      <c r="D329" s="30"/>
    </row>
    <row r="330" spans="4:4" ht="16.5">
      <c r="D330" s="30"/>
    </row>
    <row r="331" spans="4:4" ht="16.5">
      <c r="D331" s="30"/>
    </row>
    <row r="332" spans="4:4" ht="16.5">
      <c r="D332" s="30"/>
    </row>
    <row r="333" spans="4:4" ht="16.5">
      <c r="D333" s="30"/>
    </row>
    <row r="334" spans="4:4" ht="16.5">
      <c r="D334" s="30"/>
    </row>
    <row r="335" spans="4:4" ht="16.5">
      <c r="D335" s="30"/>
    </row>
    <row r="336" spans="4:4" ht="16.5">
      <c r="D336" s="30"/>
    </row>
    <row r="337" spans="4:4" ht="16.5">
      <c r="D337" s="30"/>
    </row>
    <row r="338" spans="4:4" ht="16.5">
      <c r="D338" s="30"/>
    </row>
    <row r="339" spans="4:4" ht="16.5">
      <c r="D339" s="30"/>
    </row>
    <row r="340" spans="4:4" ht="16.5">
      <c r="D340" s="30"/>
    </row>
    <row r="341" spans="4:4" ht="16.5">
      <c r="D341" s="30"/>
    </row>
    <row r="342" spans="4:4" ht="16.5">
      <c r="D342" s="30"/>
    </row>
    <row r="343" spans="4:4" ht="16.5">
      <c r="D343" s="30"/>
    </row>
    <row r="344" spans="4:4" ht="16.5">
      <c r="D344" s="30"/>
    </row>
    <row r="345" spans="4:4" ht="16.5">
      <c r="D345" s="30"/>
    </row>
    <row r="346" spans="4:4" ht="16.5">
      <c r="D346" s="30"/>
    </row>
    <row r="347" spans="4:4" ht="16.5">
      <c r="D347" s="30"/>
    </row>
    <row r="348" spans="4:4" ht="16.5">
      <c r="D348" s="30"/>
    </row>
    <row r="349" spans="4:4" ht="16.5">
      <c r="D349" s="30"/>
    </row>
    <row r="350" spans="4:4" ht="16.5">
      <c r="D350" s="30"/>
    </row>
    <row r="351" spans="4:4" ht="16.5">
      <c r="D351" s="30"/>
    </row>
    <row r="352" spans="4:4" ht="16.5">
      <c r="D352" s="30"/>
    </row>
    <row r="353" spans="4:4" ht="16.5">
      <c r="D353" s="30"/>
    </row>
    <row r="354" spans="4:4" ht="16.5">
      <c r="D354" s="30"/>
    </row>
    <row r="355" spans="4:4" ht="16.5">
      <c r="D355" s="30"/>
    </row>
    <row r="356" spans="4:4" ht="16.5">
      <c r="D356" s="30"/>
    </row>
    <row r="357" spans="4:4" ht="16.5">
      <c r="D357" s="30"/>
    </row>
    <row r="358" spans="4:4" ht="16.5">
      <c r="D358" s="30"/>
    </row>
    <row r="359" spans="4:4" ht="16.5">
      <c r="D359" s="30"/>
    </row>
    <row r="360" spans="4:4" ht="16.5">
      <c r="D360" s="30"/>
    </row>
    <row r="361" spans="4:4" ht="16.5">
      <c r="D361" s="30"/>
    </row>
    <row r="362" spans="4:4" ht="16.5">
      <c r="D362" s="30"/>
    </row>
    <row r="363" spans="4:4" ht="16.5">
      <c r="D363" s="30"/>
    </row>
    <row r="364" spans="4:4" ht="16.5">
      <c r="D364" s="30"/>
    </row>
    <row r="365" spans="4:4" ht="16.5">
      <c r="D365" s="30"/>
    </row>
    <row r="366" spans="4:4" ht="16.5">
      <c r="D366" s="30"/>
    </row>
    <row r="367" spans="4:4" ht="16.5">
      <c r="D367" s="30"/>
    </row>
    <row r="368" spans="4:4" ht="16.5">
      <c r="D368" s="30"/>
    </row>
    <row r="369" spans="4:4" ht="16.5">
      <c r="D369" s="30"/>
    </row>
    <row r="370" spans="4:4" ht="16.5">
      <c r="D370" s="30"/>
    </row>
    <row r="371" spans="4:4" ht="16.5">
      <c r="D371" s="30"/>
    </row>
    <row r="372" spans="4:4" ht="16.5">
      <c r="D372" s="30"/>
    </row>
    <row r="373" spans="4:4" ht="16.5">
      <c r="D373" s="30"/>
    </row>
    <row r="374" spans="4:4" ht="16.5">
      <c r="D374" s="30"/>
    </row>
    <row r="375" spans="4:4" ht="16.5">
      <c r="D375" s="30"/>
    </row>
    <row r="376" spans="4:4" ht="16.5">
      <c r="D376" s="30"/>
    </row>
    <row r="377" spans="4:4" ht="16.5">
      <c r="D377" s="30"/>
    </row>
    <row r="378" spans="4:4" ht="16.5">
      <c r="D378" s="30"/>
    </row>
    <row r="379" spans="4:4" ht="16.5">
      <c r="D379" s="30"/>
    </row>
    <row r="380" spans="4:4" ht="16.5">
      <c r="D380" s="30"/>
    </row>
    <row r="381" spans="4:4" ht="16.5">
      <c r="D381" s="30"/>
    </row>
    <row r="382" spans="4:4" ht="16.5">
      <c r="D382" s="30"/>
    </row>
    <row r="383" spans="4:4" ht="16.5">
      <c r="D383" s="30"/>
    </row>
    <row r="384" spans="4:4" ht="16.5">
      <c r="D384" s="30"/>
    </row>
    <row r="385" spans="4:4" ht="16.5">
      <c r="D385" s="30"/>
    </row>
    <row r="386" spans="4:4" ht="16.5">
      <c r="D386" s="30"/>
    </row>
    <row r="387" spans="4:4" ht="16.5">
      <c r="D387" s="30"/>
    </row>
    <row r="388" spans="4:4" ht="16.5">
      <c r="D388" s="30"/>
    </row>
    <row r="389" spans="4:4" ht="16.5">
      <c r="D389" s="30"/>
    </row>
    <row r="390" spans="4:4" ht="16.5">
      <c r="D390" s="30"/>
    </row>
    <row r="391" spans="4:4" ht="16.5">
      <c r="D391" s="30"/>
    </row>
    <row r="392" spans="4:4" ht="16.5">
      <c r="D392" s="30"/>
    </row>
    <row r="393" spans="4:4" ht="16.5">
      <c r="D393" s="30"/>
    </row>
    <row r="394" spans="4:4" ht="16.5">
      <c r="D394" s="30"/>
    </row>
    <row r="395" spans="4:4" ht="16.5">
      <c r="D395" s="30"/>
    </row>
    <row r="396" spans="4:4" ht="16.5">
      <c r="D396" s="30"/>
    </row>
    <row r="397" spans="4:4" ht="16.5">
      <c r="D397" s="30"/>
    </row>
    <row r="398" spans="4:4" ht="16.5">
      <c r="D398" s="30"/>
    </row>
    <row r="399" spans="4:4" ht="16.5">
      <c r="D399" s="30"/>
    </row>
    <row r="400" spans="4:4" ht="16.5">
      <c r="D400" s="30"/>
    </row>
    <row r="401" spans="4:4" ht="16.5">
      <c r="D401" s="30"/>
    </row>
    <row r="402" spans="4:4" ht="16.5">
      <c r="D402" s="30"/>
    </row>
    <row r="403" spans="4:4" ht="16.5">
      <c r="D403" s="30"/>
    </row>
    <row r="404" spans="4:4" ht="16.5">
      <c r="D404" s="30"/>
    </row>
    <row r="405" spans="4:4" ht="16.5">
      <c r="D405" s="30"/>
    </row>
    <row r="406" spans="4:4" ht="16.5">
      <c r="D406" s="30"/>
    </row>
    <row r="407" spans="4:4" ht="16.5">
      <c r="D407" s="30"/>
    </row>
    <row r="408" spans="4:4" ht="16.5">
      <c r="D408" s="30"/>
    </row>
    <row r="409" spans="4:4" ht="16.5">
      <c r="D409" s="30"/>
    </row>
    <row r="410" spans="4:4" ht="16.5">
      <c r="D410" s="30"/>
    </row>
    <row r="411" spans="4:4" ht="16.5">
      <c r="D411" s="30"/>
    </row>
    <row r="412" spans="4:4" ht="16.5">
      <c r="D412" s="30"/>
    </row>
    <row r="413" spans="4:4" ht="16.5">
      <c r="D413" s="30"/>
    </row>
    <row r="414" spans="4:4" ht="16.5">
      <c r="D414" s="30"/>
    </row>
    <row r="415" spans="4:4" ht="16.5">
      <c r="D415" s="30"/>
    </row>
    <row r="416" spans="4:4" ht="16.5">
      <c r="D416" s="30"/>
    </row>
    <row r="417" spans="4:4" ht="16.5">
      <c r="D417" s="30"/>
    </row>
    <row r="418" spans="4:4" ht="16.5">
      <c r="D418" s="30"/>
    </row>
    <row r="419" spans="4:4" ht="16.5">
      <c r="D419" s="30"/>
    </row>
    <row r="420" spans="4:4" ht="16.5">
      <c r="D420" s="30"/>
    </row>
    <row r="421" spans="4:4" ht="16.5">
      <c r="D421" s="30"/>
    </row>
    <row r="422" spans="4:4" ht="16.5">
      <c r="D422" s="30"/>
    </row>
    <row r="423" spans="4:4" ht="16.5">
      <c r="D423" s="30"/>
    </row>
    <row r="424" spans="4:4" ht="16.5">
      <c r="D424" s="30"/>
    </row>
    <row r="425" spans="4:4" ht="16.5">
      <c r="D425" s="30"/>
    </row>
    <row r="426" spans="4:4" ht="16.5">
      <c r="D426" s="30"/>
    </row>
    <row r="427" spans="4:4" ht="16.5">
      <c r="D427" s="30"/>
    </row>
    <row r="428" spans="4:4" ht="16.5">
      <c r="D428" s="30"/>
    </row>
    <row r="429" spans="4:4" ht="16.5">
      <c r="D429" s="30"/>
    </row>
    <row r="430" spans="4:4" ht="16.5">
      <c r="D430" s="30"/>
    </row>
    <row r="431" spans="4:4" ht="16.5">
      <c r="D431" s="30"/>
    </row>
    <row r="432" spans="4:4" ht="16.5">
      <c r="D432" s="30"/>
    </row>
    <row r="433" spans="4:4" ht="16.5">
      <c r="D433" s="30"/>
    </row>
    <row r="434" spans="4:4" ht="16.5">
      <c r="D434" s="30"/>
    </row>
    <row r="435" spans="4:4" ht="16.5">
      <c r="D435" s="30"/>
    </row>
    <row r="436" spans="4:4" ht="16.5">
      <c r="D436" s="30"/>
    </row>
    <row r="437" spans="4:4" ht="16.5">
      <c r="D437" s="30"/>
    </row>
    <row r="438" spans="4:4" ht="16.5">
      <c r="D438" s="30"/>
    </row>
    <row r="439" spans="4:4" ht="16.5">
      <c r="D439" s="30"/>
    </row>
    <row r="440" spans="4:4" ht="16.5">
      <c r="D440" s="30"/>
    </row>
    <row r="441" spans="4:4" ht="16.5">
      <c r="D441" s="30"/>
    </row>
    <row r="442" spans="4:4" ht="16.5">
      <c r="D442" s="30"/>
    </row>
    <row r="443" spans="4:4" ht="16.5">
      <c r="D443" s="30"/>
    </row>
    <row r="444" spans="4:4" ht="16.5">
      <c r="D444" s="30"/>
    </row>
    <row r="445" spans="4:4" ht="16.5">
      <c r="D445" s="30"/>
    </row>
    <row r="446" spans="4:4" ht="16.5">
      <c r="D446" s="30"/>
    </row>
    <row r="447" spans="4:4" ht="16.5">
      <c r="D447" s="30"/>
    </row>
    <row r="448" spans="4:4" ht="16.5">
      <c r="D448" s="30"/>
    </row>
    <row r="449" spans="4:4" ht="16.5">
      <c r="D449" s="30"/>
    </row>
    <row r="450" spans="4:4" ht="16.5">
      <c r="D450" s="30"/>
    </row>
    <row r="451" spans="4:4" ht="16.5">
      <c r="D451" s="30"/>
    </row>
    <row r="452" spans="4:4" ht="16.5">
      <c r="D452" s="30"/>
    </row>
    <row r="453" spans="4:4" ht="16.5">
      <c r="D453" s="30"/>
    </row>
    <row r="454" spans="4:4" ht="16.5">
      <c r="D454" s="30"/>
    </row>
    <row r="455" spans="4:4" ht="16.5">
      <c r="D455" s="30"/>
    </row>
    <row r="456" spans="4:4" ht="16.5">
      <c r="D456" s="30"/>
    </row>
    <row r="457" spans="4:4" ht="16.5">
      <c r="D457" s="30"/>
    </row>
    <row r="458" spans="4:4" ht="16.5">
      <c r="D458" s="30"/>
    </row>
    <row r="459" spans="4:4" ht="16.5">
      <c r="D459" s="30"/>
    </row>
    <row r="460" spans="4:4" ht="16.5">
      <c r="D460" s="30"/>
    </row>
    <row r="461" spans="4:4" ht="16.5">
      <c r="D461" s="30"/>
    </row>
    <row r="462" spans="4:4" ht="16.5">
      <c r="D462" s="30"/>
    </row>
    <row r="463" spans="4:4" ht="16.5">
      <c r="D463" s="30"/>
    </row>
    <row r="464" spans="4:4" ht="16.5">
      <c r="D464" s="30"/>
    </row>
    <row r="465" spans="4:4" ht="16.5">
      <c r="D465" s="30"/>
    </row>
    <row r="466" spans="4:4" ht="16.5">
      <c r="D466" s="30"/>
    </row>
    <row r="467" spans="4:4" ht="16.5">
      <c r="D467" s="30"/>
    </row>
    <row r="468" spans="4:4" ht="16.5">
      <c r="D468" s="30"/>
    </row>
    <row r="469" spans="4:4" ht="16.5">
      <c r="D469" s="30"/>
    </row>
    <row r="470" spans="4:4" ht="16.5">
      <c r="D470" s="30"/>
    </row>
    <row r="471" spans="4:4" ht="16.5">
      <c r="D471" s="30"/>
    </row>
    <row r="472" spans="4:4" ht="16.5">
      <c r="D472" s="30"/>
    </row>
    <row r="473" spans="4:4" ht="16.5">
      <c r="D473" s="30"/>
    </row>
    <row r="474" spans="4:4" ht="16.5">
      <c r="D474" s="30"/>
    </row>
    <row r="475" spans="4:4" ht="16.5">
      <c r="D475" s="30"/>
    </row>
    <row r="476" spans="4:4" ht="16.5">
      <c r="D476" s="30"/>
    </row>
    <row r="477" spans="4:4" ht="16.5">
      <c r="D477" s="30"/>
    </row>
    <row r="478" spans="4:4" ht="16.5">
      <c r="D478" s="30"/>
    </row>
    <row r="479" spans="4:4" ht="16.5">
      <c r="D479" s="30"/>
    </row>
    <row r="480" spans="4:4" ht="16.5">
      <c r="D480" s="30"/>
    </row>
    <row r="481" spans="4:4" ht="16.5">
      <c r="D481" s="30"/>
    </row>
    <row r="482" spans="4:4" ht="16.5">
      <c r="D482" s="30"/>
    </row>
    <row r="483" spans="4:4" ht="16.5">
      <c r="D483" s="30"/>
    </row>
    <row r="484" spans="4:4" ht="16.5">
      <c r="D484" s="30"/>
    </row>
    <row r="485" spans="4:4" ht="16.5">
      <c r="D485" s="30"/>
    </row>
    <row r="486" spans="4:4" ht="16.5">
      <c r="D486" s="30"/>
    </row>
    <row r="487" spans="4:4" ht="16.5">
      <c r="D487" s="30"/>
    </row>
    <row r="488" spans="4:4" ht="16.5">
      <c r="D488" s="30"/>
    </row>
    <row r="489" spans="4:4" ht="16.5">
      <c r="D489" s="30"/>
    </row>
    <row r="490" spans="4:4" ht="16.5">
      <c r="D490" s="30"/>
    </row>
    <row r="491" spans="4:4" ht="16.5">
      <c r="D491" s="30"/>
    </row>
    <row r="492" spans="4:4" ht="16.5">
      <c r="D492" s="30"/>
    </row>
    <row r="493" spans="4:4" ht="16.5">
      <c r="D493" s="30"/>
    </row>
    <row r="494" spans="4:4" ht="16.5">
      <c r="D494" s="30"/>
    </row>
    <row r="495" spans="4:4" ht="16.5">
      <c r="D495" s="30"/>
    </row>
    <row r="496" spans="4:4" ht="16.5">
      <c r="D496" s="30"/>
    </row>
    <row r="497" spans="4:4" ht="16.5">
      <c r="D497" s="30"/>
    </row>
    <row r="498" spans="4:4" ht="16.5">
      <c r="D498" s="30"/>
    </row>
    <row r="499" spans="4:4" ht="16.5">
      <c r="D499" s="30"/>
    </row>
    <row r="500" spans="4:4" ht="16.5">
      <c r="D500" s="30"/>
    </row>
    <row r="501" spans="4:4" ht="16.5">
      <c r="D501" s="30"/>
    </row>
    <row r="502" spans="4:4" ht="16.5">
      <c r="D502" s="30"/>
    </row>
    <row r="503" spans="4:4" ht="16.5">
      <c r="D503" s="30"/>
    </row>
    <row r="504" spans="4:4" ht="16.5">
      <c r="D504" s="30"/>
    </row>
    <row r="505" spans="4:4" ht="16.5">
      <c r="D505" s="30"/>
    </row>
    <row r="506" spans="4:4" ht="16.5">
      <c r="D506" s="30"/>
    </row>
    <row r="507" spans="4:4" ht="16.5">
      <c r="D507" s="30"/>
    </row>
    <row r="508" spans="4:4" ht="16.5">
      <c r="D508" s="30"/>
    </row>
    <row r="509" spans="4:4" ht="16.5">
      <c r="D509" s="30"/>
    </row>
    <row r="510" spans="4:4" ht="16.5">
      <c r="D510" s="30"/>
    </row>
    <row r="511" spans="4:4" ht="16.5">
      <c r="D511" s="30"/>
    </row>
    <row r="512" spans="4:4" ht="16.5">
      <c r="D512" s="30"/>
    </row>
    <row r="513" spans="4:4" ht="16.5">
      <c r="D513" s="30"/>
    </row>
    <row r="514" spans="4:4" ht="16.5">
      <c r="D514" s="30"/>
    </row>
    <row r="515" spans="4:4" ht="16.5">
      <c r="D515" s="30"/>
    </row>
    <row r="516" spans="4:4" ht="16.5">
      <c r="D516" s="30"/>
    </row>
    <row r="517" spans="4:4" ht="16.5">
      <c r="D517" s="30"/>
    </row>
    <row r="518" spans="4:4" ht="16.5">
      <c r="D518" s="30"/>
    </row>
    <row r="519" spans="4:4" ht="16.5">
      <c r="D519" s="30"/>
    </row>
    <row r="520" spans="4:4" ht="16.5">
      <c r="D520" s="30"/>
    </row>
    <row r="521" spans="4:4" ht="16.5">
      <c r="D521" s="30"/>
    </row>
    <row r="522" spans="4:4" ht="16.5">
      <c r="D522" s="30"/>
    </row>
    <row r="523" spans="4:4" ht="16.5">
      <c r="D523" s="30"/>
    </row>
    <row r="524" spans="4:4" ht="16.5">
      <c r="D524" s="30"/>
    </row>
    <row r="525" spans="4:4" ht="16.5">
      <c r="D525" s="30"/>
    </row>
    <row r="526" spans="4:4" ht="16.5">
      <c r="D526" s="30"/>
    </row>
    <row r="527" spans="4:4" ht="16.5">
      <c r="D527" s="30"/>
    </row>
    <row r="528" spans="4:4" ht="16.5">
      <c r="D528" s="30"/>
    </row>
    <row r="529" spans="4:4" ht="16.5">
      <c r="D529" s="30"/>
    </row>
    <row r="530" spans="4:4" ht="16.5">
      <c r="D530" s="30"/>
    </row>
    <row r="531" spans="4:4" ht="16.5">
      <c r="D531" s="30"/>
    </row>
    <row r="532" spans="4:4" ht="16.5">
      <c r="D532" s="30"/>
    </row>
    <row r="533" spans="4:4" ht="16.5">
      <c r="D533" s="30"/>
    </row>
    <row r="534" spans="4:4" ht="16.5">
      <c r="D534" s="30"/>
    </row>
    <row r="535" spans="4:4" ht="16.5">
      <c r="D535" s="30"/>
    </row>
    <row r="536" spans="4:4" ht="16.5">
      <c r="D536" s="30"/>
    </row>
    <row r="537" spans="4:4" ht="16.5">
      <c r="D537" s="30"/>
    </row>
    <row r="538" spans="4:4" ht="16.5">
      <c r="D538" s="30"/>
    </row>
    <row r="539" spans="4:4" ht="16.5">
      <c r="D539" s="30"/>
    </row>
    <row r="540" spans="4:4" ht="16.5">
      <c r="D540" s="30"/>
    </row>
    <row r="541" spans="4:4" ht="16.5">
      <c r="D541" s="30"/>
    </row>
    <row r="542" spans="4:4" ht="16.5">
      <c r="D542" s="30"/>
    </row>
    <row r="543" spans="4:4" ht="16.5">
      <c r="D543" s="30"/>
    </row>
    <row r="544" spans="4:4" ht="16.5">
      <c r="D544" s="30"/>
    </row>
    <row r="545" spans="4:4" ht="16.5">
      <c r="D545" s="30"/>
    </row>
    <row r="546" spans="4:4" ht="16.5">
      <c r="D546" s="30"/>
    </row>
    <row r="547" spans="4:4" ht="16.5">
      <c r="D547" s="30"/>
    </row>
    <row r="548" spans="4:4" ht="16.5">
      <c r="D548" s="30"/>
    </row>
    <row r="549" spans="4:4" ht="16.5">
      <c r="D549" s="30"/>
    </row>
    <row r="550" spans="4:4" ht="16.5">
      <c r="D550" s="30"/>
    </row>
    <row r="551" spans="4:4" ht="16.5">
      <c r="D551" s="30"/>
    </row>
    <row r="552" spans="4:4" ht="16.5">
      <c r="D552" s="30"/>
    </row>
    <row r="553" spans="4:4" ht="16.5">
      <c r="D553" s="30"/>
    </row>
    <row r="554" spans="4:4" ht="16.5">
      <c r="D554" s="30"/>
    </row>
    <row r="555" spans="4:4" ht="16.5">
      <c r="D555" s="30"/>
    </row>
    <row r="556" spans="4:4" ht="16.5">
      <c r="D556" s="30"/>
    </row>
    <row r="557" spans="4:4" ht="16.5">
      <c r="D557" s="30"/>
    </row>
    <row r="558" spans="4:4" ht="16.5">
      <c r="D558" s="30"/>
    </row>
    <row r="559" spans="4:4" ht="16.5">
      <c r="D559" s="30"/>
    </row>
    <row r="560" spans="4:4" ht="16.5">
      <c r="D560" s="30"/>
    </row>
    <row r="561" spans="4:4" ht="16.5">
      <c r="D561" s="30"/>
    </row>
    <row r="562" spans="4:4" ht="16.5">
      <c r="D562" s="30"/>
    </row>
    <row r="563" spans="4:4" ht="16.5">
      <c r="D563" s="30"/>
    </row>
    <row r="564" spans="4:4" ht="16.5">
      <c r="D564" s="30"/>
    </row>
    <row r="565" spans="4:4" ht="16.5">
      <c r="D565" s="30"/>
    </row>
    <row r="566" spans="4:4" ht="16.5">
      <c r="D566" s="30"/>
    </row>
    <row r="567" spans="4:4" ht="16.5">
      <c r="D567" s="30"/>
    </row>
    <row r="568" spans="4:4" ht="16.5">
      <c r="D568" s="30"/>
    </row>
    <row r="569" spans="4:4" ht="16.5">
      <c r="D569" s="30"/>
    </row>
    <row r="570" spans="4:4" ht="16.5">
      <c r="D570" s="30"/>
    </row>
    <row r="571" spans="4:4" ht="16.5">
      <c r="D571" s="30"/>
    </row>
    <row r="572" spans="4:4" ht="16.5">
      <c r="D572" s="30"/>
    </row>
    <row r="573" spans="4:4" ht="16.5">
      <c r="D573" s="30"/>
    </row>
    <row r="574" spans="4:4" ht="16.5">
      <c r="D574" s="30"/>
    </row>
    <row r="575" spans="4:4" ht="16.5">
      <c r="D575" s="30"/>
    </row>
    <row r="576" spans="4:4" ht="16.5">
      <c r="D576" s="30"/>
    </row>
    <row r="577" spans="4:4" ht="16.5">
      <c r="D577" s="30"/>
    </row>
    <row r="578" spans="4:4" ht="16.5">
      <c r="D578" s="30"/>
    </row>
    <row r="579" spans="4:4" ht="16.5">
      <c r="D579" s="30"/>
    </row>
    <row r="580" spans="4:4" ht="16.5">
      <c r="D580" s="30"/>
    </row>
    <row r="581" spans="4:4" ht="16.5">
      <c r="D581" s="30"/>
    </row>
    <row r="582" spans="4:4" ht="16.5">
      <c r="D582" s="30"/>
    </row>
    <row r="583" spans="4:4" ht="16.5">
      <c r="D583" s="30"/>
    </row>
    <row r="584" spans="4:4" ht="16.5">
      <c r="D584" s="30"/>
    </row>
    <row r="585" spans="4:4" ht="16.5">
      <c r="D585" s="30"/>
    </row>
    <row r="586" spans="4:4" ht="16.5">
      <c r="D586" s="30"/>
    </row>
    <row r="587" spans="4:4" ht="16.5">
      <c r="D587" s="30"/>
    </row>
    <row r="588" spans="4:4" ht="16.5">
      <c r="D588" s="30"/>
    </row>
    <row r="589" spans="4:4" ht="16.5">
      <c r="D589" s="30"/>
    </row>
    <row r="590" spans="4:4" ht="16.5">
      <c r="D590" s="30"/>
    </row>
    <row r="591" spans="4:4" ht="16.5">
      <c r="D591" s="30"/>
    </row>
    <row r="592" spans="4:4" ht="16.5">
      <c r="D592" s="30"/>
    </row>
    <row r="593" spans="4:4" ht="16.5">
      <c r="D593" s="30"/>
    </row>
    <row r="594" spans="4:4" ht="16.5">
      <c r="D594" s="30"/>
    </row>
    <row r="595" spans="4:4" ht="16.5">
      <c r="D595" s="30"/>
    </row>
    <row r="596" spans="4:4" ht="16.5">
      <c r="D596" s="30"/>
    </row>
    <row r="597" spans="4:4" ht="16.5">
      <c r="D597" s="30"/>
    </row>
    <row r="598" spans="4:4" ht="16.5">
      <c r="D598" s="30"/>
    </row>
    <row r="599" spans="4:4" ht="16.5">
      <c r="D599" s="30"/>
    </row>
    <row r="600" spans="4:4" ht="16.5">
      <c r="D600" s="30"/>
    </row>
    <row r="601" spans="4:4" ht="16.5">
      <c r="D601" s="30"/>
    </row>
    <row r="602" spans="4:4" ht="16.5">
      <c r="D602" s="30"/>
    </row>
    <row r="603" spans="4:4" ht="16.5">
      <c r="D603" s="30"/>
    </row>
    <row r="604" spans="4:4" ht="16.5">
      <c r="D604" s="30"/>
    </row>
    <row r="605" spans="4:4" ht="16.5">
      <c r="D605" s="30"/>
    </row>
    <row r="606" spans="4:4" ht="16.5">
      <c r="D606" s="30"/>
    </row>
    <row r="607" spans="4:4" ht="16.5">
      <c r="D607" s="30"/>
    </row>
    <row r="608" spans="4:4" ht="16.5">
      <c r="D608" s="30"/>
    </row>
    <row r="609" spans="4:4" ht="16.5">
      <c r="D609" s="30"/>
    </row>
    <row r="610" spans="4:4" ht="16.5">
      <c r="D610" s="30"/>
    </row>
    <row r="611" spans="4:4" ht="16.5">
      <c r="D611" s="30"/>
    </row>
    <row r="612" spans="4:4" ht="16.5">
      <c r="D612" s="30"/>
    </row>
    <row r="613" spans="4:4" ht="16.5">
      <c r="D613" s="30"/>
    </row>
    <row r="614" spans="4:4" ht="16.5">
      <c r="D614" s="30"/>
    </row>
    <row r="615" spans="4:4" ht="16.5">
      <c r="D615" s="30"/>
    </row>
    <row r="616" spans="4:4" ht="16.5">
      <c r="D616" s="30"/>
    </row>
    <row r="617" spans="4:4" ht="16.5">
      <c r="D617" s="30"/>
    </row>
    <row r="618" spans="4:4" ht="16.5">
      <c r="D618" s="30"/>
    </row>
    <row r="619" spans="4:4" ht="16.5">
      <c r="D619" s="30"/>
    </row>
    <row r="620" spans="4:4" ht="16.5">
      <c r="D620" s="30"/>
    </row>
    <row r="621" spans="4:4" ht="16.5">
      <c r="D621" s="30"/>
    </row>
    <row r="622" spans="4:4" ht="16.5">
      <c r="D622" s="30"/>
    </row>
    <row r="623" spans="4:4" ht="16.5">
      <c r="D623" s="30"/>
    </row>
    <row r="624" spans="4:4" ht="16.5">
      <c r="D624" s="30"/>
    </row>
    <row r="625" spans="4:4" ht="16.5">
      <c r="D625" s="30"/>
    </row>
    <row r="626" spans="4:4" ht="16.5">
      <c r="D626" s="30"/>
    </row>
    <row r="627" spans="4:4" ht="16.5">
      <c r="D627" s="30"/>
    </row>
    <row r="628" spans="4:4" ht="16.5">
      <c r="D628" s="30"/>
    </row>
    <row r="629" spans="4:4" ht="16.5">
      <c r="D629" s="30"/>
    </row>
    <row r="630" spans="4:4" ht="16.5">
      <c r="D630" s="30"/>
    </row>
    <row r="631" spans="4:4" ht="16.5">
      <c r="D631" s="30"/>
    </row>
    <row r="632" spans="4:4" ht="16.5">
      <c r="D632" s="30"/>
    </row>
    <row r="633" spans="4:4" ht="16.5">
      <c r="D633" s="30"/>
    </row>
    <row r="634" spans="4:4" ht="16.5">
      <c r="D634" s="30"/>
    </row>
    <row r="635" spans="4:4" ht="16.5">
      <c r="D635" s="30"/>
    </row>
    <row r="636" spans="4:4" ht="16.5">
      <c r="D636" s="30"/>
    </row>
    <row r="637" spans="4:4" ht="16.5">
      <c r="D637" s="30"/>
    </row>
    <row r="638" spans="4:4" ht="16.5">
      <c r="D638" s="30"/>
    </row>
    <row r="639" spans="4:4" ht="16.5">
      <c r="D639" s="30"/>
    </row>
    <row r="640" spans="4:4" ht="16.5">
      <c r="D640" s="30"/>
    </row>
    <row r="641" spans="4:4" ht="16.5">
      <c r="D641" s="30"/>
    </row>
    <row r="642" spans="4:4" ht="16.5">
      <c r="D642" s="30"/>
    </row>
    <row r="643" spans="4:4" ht="16.5">
      <c r="D643" s="30"/>
    </row>
    <row r="644" spans="4:4" ht="16.5">
      <c r="D644" s="30"/>
    </row>
    <row r="645" spans="4:4" ht="16.5">
      <c r="D645" s="30"/>
    </row>
    <row r="646" spans="4:4" ht="16.5">
      <c r="D646" s="30"/>
    </row>
    <row r="647" spans="4:4" ht="16.5">
      <c r="D647" s="30"/>
    </row>
    <row r="648" spans="4:4" ht="16.5">
      <c r="D648" s="30"/>
    </row>
    <row r="649" spans="4:4" ht="16.5">
      <c r="D649" s="30"/>
    </row>
    <row r="650" spans="4:4" ht="16.5">
      <c r="D650" s="30"/>
    </row>
    <row r="651" spans="4:4" ht="16.5">
      <c r="D651" s="30"/>
    </row>
    <row r="652" spans="4:4" ht="16.5">
      <c r="D652" s="30"/>
    </row>
    <row r="653" spans="4:4" ht="16.5">
      <c r="D653" s="30"/>
    </row>
    <row r="654" spans="4:4" ht="16.5">
      <c r="D654" s="30"/>
    </row>
    <row r="655" spans="4:4" ht="16.5">
      <c r="D655" s="30"/>
    </row>
    <row r="656" spans="4:4" ht="16.5">
      <c r="D656" s="30"/>
    </row>
    <row r="657" spans="4:4" ht="16.5">
      <c r="D657" s="30"/>
    </row>
    <row r="658" spans="4:4" ht="16.5">
      <c r="D658" s="30"/>
    </row>
    <row r="659" spans="4:4" ht="16.5">
      <c r="D659" s="30"/>
    </row>
    <row r="660" spans="4:4" ht="16.5">
      <c r="D660" s="30"/>
    </row>
    <row r="661" spans="4:4" ht="16.5">
      <c r="D661" s="30"/>
    </row>
    <row r="662" spans="4:4" ht="16.5">
      <c r="D662" s="30"/>
    </row>
    <row r="663" spans="4:4" ht="16.5">
      <c r="D663" s="30"/>
    </row>
    <row r="664" spans="4:4" ht="16.5">
      <c r="D664" s="30"/>
    </row>
    <row r="665" spans="4:4" ht="16.5">
      <c r="D665" s="30"/>
    </row>
    <row r="666" spans="4:4" ht="16.5">
      <c r="D666" s="30"/>
    </row>
    <row r="667" spans="4:4" ht="16.5">
      <c r="D667" s="30"/>
    </row>
    <row r="668" spans="4:4" ht="16.5">
      <c r="D668" s="30"/>
    </row>
    <row r="669" spans="4:4" ht="16.5">
      <c r="D669" s="30"/>
    </row>
    <row r="670" spans="4:4" ht="16.5">
      <c r="D670" s="30"/>
    </row>
    <row r="671" spans="4:4" ht="16.5">
      <c r="D671" s="30"/>
    </row>
    <row r="672" spans="4:4" ht="16.5">
      <c r="D672" s="30"/>
    </row>
    <row r="673" spans="4:4" ht="16.5">
      <c r="D673" s="30"/>
    </row>
    <row r="674" spans="4:4" ht="16.5">
      <c r="D674" s="30"/>
    </row>
    <row r="675" spans="4:4" ht="16.5">
      <c r="D675" s="30"/>
    </row>
    <row r="676" spans="4:4" ht="16.5">
      <c r="D676" s="30"/>
    </row>
    <row r="677" spans="4:4" ht="16.5">
      <c r="D677" s="30"/>
    </row>
    <row r="678" spans="4:4" ht="16.5">
      <c r="D678" s="30"/>
    </row>
    <row r="679" spans="4:4" ht="16.5">
      <c r="D679" s="30"/>
    </row>
    <row r="680" spans="4:4" ht="16.5">
      <c r="D680" s="30"/>
    </row>
    <row r="681" spans="4:4" ht="16.5">
      <c r="D681" s="30"/>
    </row>
    <row r="682" spans="4:4" ht="16.5">
      <c r="D682" s="30"/>
    </row>
    <row r="683" spans="4:4" ht="16.5">
      <c r="D683" s="30"/>
    </row>
    <row r="684" spans="4:4" ht="16.5">
      <c r="D684" s="30"/>
    </row>
    <row r="685" spans="4:4" ht="16.5">
      <c r="D685" s="30"/>
    </row>
    <row r="686" spans="4:4" ht="16.5">
      <c r="D686" s="30"/>
    </row>
    <row r="687" spans="4:4" ht="16.5">
      <c r="D687" s="30"/>
    </row>
    <row r="688" spans="4:4" ht="16.5">
      <c r="D688" s="30"/>
    </row>
    <row r="689" spans="4:4" ht="16.5">
      <c r="D689" s="30"/>
    </row>
    <row r="690" spans="4:4" ht="16.5">
      <c r="D690" s="30"/>
    </row>
    <row r="691" spans="4:4" ht="16.5">
      <c r="D691" s="30"/>
    </row>
    <row r="692" spans="4:4" ht="16.5">
      <c r="D692" s="30"/>
    </row>
    <row r="693" spans="4:4" ht="16.5">
      <c r="D693" s="30"/>
    </row>
    <row r="694" spans="4:4" ht="16.5">
      <c r="D694" s="30"/>
    </row>
    <row r="695" spans="4:4" ht="16.5">
      <c r="D695" s="30"/>
    </row>
    <row r="696" spans="4:4" ht="16.5">
      <c r="D696" s="30"/>
    </row>
    <row r="697" spans="4:4" ht="16.5">
      <c r="D697" s="30"/>
    </row>
    <row r="698" spans="4:4" ht="16.5">
      <c r="D698" s="30"/>
    </row>
    <row r="699" spans="4:4" ht="16.5">
      <c r="D699" s="30"/>
    </row>
    <row r="700" spans="4:4" ht="16.5">
      <c r="D700" s="30"/>
    </row>
    <row r="701" spans="4:4" ht="16.5">
      <c r="D701" s="30"/>
    </row>
    <row r="702" spans="4:4" ht="16.5">
      <c r="D702" s="30"/>
    </row>
    <row r="703" spans="4:4" ht="16.5">
      <c r="D703" s="30"/>
    </row>
    <row r="704" spans="4:4" ht="16.5">
      <c r="D704" s="30"/>
    </row>
    <row r="705" spans="4:4" ht="16.5">
      <c r="D705" s="30"/>
    </row>
    <row r="706" spans="4:4" ht="16.5">
      <c r="D706" s="30"/>
    </row>
    <row r="707" spans="4:4" ht="16.5">
      <c r="D707" s="30"/>
    </row>
    <row r="708" spans="4:4" ht="16.5">
      <c r="D708" s="30"/>
    </row>
    <row r="709" spans="4:4" ht="16.5">
      <c r="D709" s="30"/>
    </row>
    <row r="710" spans="4:4" ht="16.5">
      <c r="D710" s="30"/>
    </row>
    <row r="711" spans="4:4" ht="16.5">
      <c r="D711" s="30"/>
    </row>
    <row r="712" spans="4:4" ht="16.5">
      <c r="D712" s="30"/>
    </row>
    <row r="713" spans="4:4" ht="16.5">
      <c r="D713" s="30"/>
    </row>
    <row r="714" spans="4:4" ht="16.5">
      <c r="D714" s="30"/>
    </row>
    <row r="715" spans="4:4" ht="16.5">
      <c r="D715" s="30"/>
    </row>
    <row r="716" spans="4:4" ht="16.5">
      <c r="D716" s="30"/>
    </row>
    <row r="717" spans="4:4" ht="16.5">
      <c r="D717" s="30"/>
    </row>
    <row r="718" spans="4:4" ht="16.5">
      <c r="D718" s="30"/>
    </row>
    <row r="719" spans="4:4" ht="16.5">
      <c r="D719" s="30"/>
    </row>
    <row r="720" spans="4:4" ht="16.5">
      <c r="D720" s="30"/>
    </row>
    <row r="721" spans="4:4" ht="16.5">
      <c r="D721" s="30"/>
    </row>
    <row r="722" spans="4:4" ht="16.5">
      <c r="D722" s="30"/>
    </row>
    <row r="723" spans="4:4" ht="16.5">
      <c r="D723" s="30"/>
    </row>
    <row r="724" spans="4:4" ht="16.5">
      <c r="D724" s="30"/>
    </row>
    <row r="725" spans="4:4" ht="16.5">
      <c r="D725" s="30"/>
    </row>
    <row r="726" spans="4:4" ht="16.5">
      <c r="D726" s="30"/>
    </row>
    <row r="727" spans="4:4" ht="16.5">
      <c r="D727" s="30"/>
    </row>
    <row r="728" spans="4:4" ht="16.5">
      <c r="D728" s="30"/>
    </row>
    <row r="729" spans="4:4" ht="16.5">
      <c r="D729" s="30"/>
    </row>
    <row r="730" spans="4:4" ht="16.5">
      <c r="D730" s="30"/>
    </row>
    <row r="731" spans="4:4" ht="16.5">
      <c r="D731" s="30"/>
    </row>
    <row r="732" spans="4:4" ht="16.5">
      <c r="D732" s="30"/>
    </row>
    <row r="733" spans="4:4" ht="16.5">
      <c r="D733" s="30"/>
    </row>
    <row r="734" spans="4:4" ht="16.5">
      <c r="D734" s="30"/>
    </row>
    <row r="735" spans="4:4" ht="16.5">
      <c r="D735" s="30"/>
    </row>
    <row r="736" spans="4:4" ht="16.5">
      <c r="D736" s="30"/>
    </row>
    <row r="737" spans="4:4" ht="16.5">
      <c r="D737" s="30"/>
    </row>
    <row r="738" spans="4:4" ht="16.5">
      <c r="D738" s="30"/>
    </row>
    <row r="739" spans="4:4" ht="16.5">
      <c r="D739" s="30"/>
    </row>
    <row r="740" spans="4:4" ht="16.5">
      <c r="D740" s="30"/>
    </row>
    <row r="741" spans="4:4" ht="16.5">
      <c r="D741" s="30"/>
    </row>
    <row r="742" spans="4:4" ht="16.5">
      <c r="D742" s="30"/>
    </row>
    <row r="743" spans="4:4" ht="16.5">
      <c r="D743" s="30"/>
    </row>
    <row r="744" spans="4:4" ht="16.5">
      <c r="D744" s="30"/>
    </row>
    <row r="745" spans="4:4" ht="16.5">
      <c r="D745" s="30"/>
    </row>
    <row r="746" spans="4:4" ht="16.5">
      <c r="D746" s="30"/>
    </row>
    <row r="747" spans="4:4" ht="16.5">
      <c r="D747" s="30"/>
    </row>
    <row r="748" spans="4:4" ht="16.5">
      <c r="D748" s="30"/>
    </row>
    <row r="749" spans="4:4" ht="16.5">
      <c r="D749" s="30"/>
    </row>
    <row r="750" spans="4:4" ht="16.5">
      <c r="D750" s="30"/>
    </row>
    <row r="751" spans="4:4" ht="16.5">
      <c r="D751" s="30"/>
    </row>
    <row r="752" spans="4:4" ht="16.5">
      <c r="D752" s="30"/>
    </row>
    <row r="753" spans="4:4" ht="16.5">
      <c r="D753" s="30"/>
    </row>
    <row r="754" spans="4:4" ht="16.5">
      <c r="D754" s="30"/>
    </row>
    <row r="755" spans="4:4" ht="16.5">
      <c r="D755" s="30"/>
    </row>
    <row r="756" spans="4:4" ht="16.5">
      <c r="D756" s="30"/>
    </row>
    <row r="757" spans="4:4" ht="16.5">
      <c r="D757" s="30"/>
    </row>
    <row r="758" spans="4:4" ht="16.5">
      <c r="D758" s="30"/>
    </row>
    <row r="759" spans="4:4" ht="16.5">
      <c r="D759" s="30"/>
    </row>
    <row r="760" spans="4:4" ht="16.5">
      <c r="D760" s="30"/>
    </row>
    <row r="761" spans="4:4" ht="16.5">
      <c r="D761" s="30"/>
    </row>
    <row r="762" spans="4:4" ht="16.5">
      <c r="D762" s="30"/>
    </row>
    <row r="763" spans="4:4" ht="16.5">
      <c r="D763" s="30"/>
    </row>
    <row r="764" spans="4:4" ht="16.5">
      <c r="D764" s="30"/>
    </row>
    <row r="765" spans="4:4" ht="16.5">
      <c r="D765" s="30"/>
    </row>
    <row r="766" spans="4:4" ht="16.5">
      <c r="D766" s="30"/>
    </row>
    <row r="767" spans="4:4" ht="16.5">
      <c r="D767" s="30"/>
    </row>
    <row r="768" spans="4:4" ht="16.5">
      <c r="D768" s="30"/>
    </row>
    <row r="769" spans="4:4" ht="16.5">
      <c r="D769" s="30"/>
    </row>
    <row r="770" spans="4:4" ht="16.5">
      <c r="D770" s="30"/>
    </row>
    <row r="771" spans="4:4" ht="16.5">
      <c r="D771" s="30"/>
    </row>
    <row r="772" spans="4:4" ht="16.5">
      <c r="D772" s="30"/>
    </row>
    <row r="773" spans="4:4" ht="16.5">
      <c r="D773" s="30"/>
    </row>
    <row r="774" spans="4:4" ht="16.5">
      <c r="D774" s="30"/>
    </row>
    <row r="775" spans="4:4" ht="16.5">
      <c r="D775" s="30"/>
    </row>
    <row r="776" spans="4:4" ht="16.5">
      <c r="D776" s="30"/>
    </row>
    <row r="777" spans="4:4" ht="16.5">
      <c r="D777" s="30"/>
    </row>
    <row r="778" spans="4:4" ht="16.5">
      <c r="D778" s="30"/>
    </row>
    <row r="779" spans="4:4" ht="16.5">
      <c r="D779" s="30"/>
    </row>
    <row r="780" spans="4:4" ht="16.5">
      <c r="D780" s="30"/>
    </row>
    <row r="781" spans="4:4" ht="16.5">
      <c r="D781" s="30"/>
    </row>
    <row r="782" spans="4:4" ht="16.5">
      <c r="D782" s="30"/>
    </row>
    <row r="783" spans="4:4" ht="16.5">
      <c r="D783" s="30"/>
    </row>
    <row r="784" spans="4:4" ht="16.5">
      <c r="D784" s="30"/>
    </row>
    <row r="785" spans="4:4" ht="16.5">
      <c r="D785" s="30"/>
    </row>
    <row r="786" spans="4:4" ht="16.5">
      <c r="D786" s="30"/>
    </row>
    <row r="787" spans="4:4" ht="16.5">
      <c r="D787" s="30"/>
    </row>
    <row r="788" spans="4:4" ht="16.5">
      <c r="D788" s="30"/>
    </row>
    <row r="789" spans="4:4" ht="16.5">
      <c r="D789" s="30"/>
    </row>
    <row r="790" spans="4:4" ht="16.5">
      <c r="D790" s="30"/>
    </row>
    <row r="791" spans="4:4" ht="16.5">
      <c r="D791" s="30"/>
    </row>
    <row r="792" spans="4:4" ht="16.5">
      <c r="D792" s="30"/>
    </row>
    <row r="793" spans="4:4" ht="16.5">
      <c r="D793" s="30"/>
    </row>
    <row r="794" spans="4:4" ht="16.5">
      <c r="D794" s="30"/>
    </row>
    <row r="795" spans="4:4" ht="16.5">
      <c r="D795" s="30"/>
    </row>
    <row r="796" spans="4:4" ht="16.5">
      <c r="D796" s="30"/>
    </row>
    <row r="797" spans="4:4" ht="16.5">
      <c r="D797" s="30"/>
    </row>
    <row r="798" spans="4:4" ht="16.5">
      <c r="D798" s="30"/>
    </row>
    <row r="799" spans="4:4" ht="16.5">
      <c r="D799" s="30"/>
    </row>
    <row r="800" spans="4:4" ht="16.5">
      <c r="D800" s="30"/>
    </row>
    <row r="801" spans="4:4" ht="16.5">
      <c r="D801" s="30"/>
    </row>
    <row r="802" spans="4:4" ht="16.5">
      <c r="D802" s="30"/>
    </row>
    <row r="803" spans="4:4" ht="16.5">
      <c r="D803" s="30"/>
    </row>
    <row r="804" spans="4:4" ht="16.5">
      <c r="D804" s="30"/>
    </row>
    <row r="805" spans="4:4" ht="16.5">
      <c r="D805" s="30"/>
    </row>
    <row r="806" spans="4:4" ht="16.5">
      <c r="D806" s="30"/>
    </row>
    <row r="807" spans="4:4" ht="16.5">
      <c r="D807" s="30"/>
    </row>
    <row r="808" spans="4:4" ht="16.5">
      <c r="D808" s="30"/>
    </row>
    <row r="809" spans="4:4" ht="16.5">
      <c r="D809" s="30"/>
    </row>
    <row r="810" spans="4:4" ht="16.5">
      <c r="D810" s="30"/>
    </row>
    <row r="811" spans="4:4" ht="16.5">
      <c r="D811" s="30"/>
    </row>
    <row r="812" spans="4:4" ht="16.5">
      <c r="D812" s="30"/>
    </row>
    <row r="813" spans="4:4" ht="16.5">
      <c r="D813" s="30"/>
    </row>
    <row r="814" spans="4:4" ht="16.5">
      <c r="D814" s="30"/>
    </row>
    <row r="815" spans="4:4" ht="16.5">
      <c r="D815" s="30"/>
    </row>
    <row r="816" spans="4:4" ht="16.5">
      <c r="D816" s="30"/>
    </row>
    <row r="817" spans="4:4" ht="16.5">
      <c r="D817" s="30"/>
    </row>
    <row r="818" spans="4:4" ht="16.5">
      <c r="D818" s="30"/>
    </row>
    <row r="819" spans="4:4" ht="16.5">
      <c r="D819" s="30"/>
    </row>
    <row r="820" spans="4:4" ht="16.5">
      <c r="D820" s="30"/>
    </row>
    <row r="821" spans="4:4" ht="16.5">
      <c r="D821" s="30"/>
    </row>
    <row r="822" spans="4:4" ht="16.5">
      <c r="D822" s="30"/>
    </row>
    <row r="823" spans="4:4" ht="16.5">
      <c r="D823" s="30"/>
    </row>
    <row r="824" spans="4:4" ht="16.5">
      <c r="D824" s="30"/>
    </row>
    <row r="825" spans="4:4" ht="16.5">
      <c r="D825" s="30"/>
    </row>
    <row r="826" spans="4:4" ht="16.5">
      <c r="D826" s="30"/>
    </row>
    <row r="827" spans="4:4" ht="16.5">
      <c r="D827" s="30"/>
    </row>
    <row r="828" spans="4:4" ht="16.5">
      <c r="D828" s="30"/>
    </row>
    <row r="829" spans="4:4" ht="16.5">
      <c r="D829" s="30"/>
    </row>
    <row r="830" spans="4:4" ht="16.5">
      <c r="D830" s="30"/>
    </row>
    <row r="831" spans="4:4" ht="16.5">
      <c r="D831" s="30"/>
    </row>
    <row r="832" spans="4:4" ht="16.5">
      <c r="D832" s="30"/>
    </row>
    <row r="833" spans="4:4" ht="16.5">
      <c r="D833" s="30"/>
    </row>
    <row r="834" spans="4:4" ht="16.5">
      <c r="D834" s="30"/>
    </row>
    <row r="835" spans="4:4" ht="16.5">
      <c r="D835" s="30"/>
    </row>
    <row r="836" spans="4:4" ht="16.5">
      <c r="D836" s="30"/>
    </row>
    <row r="837" spans="4:4" ht="16.5">
      <c r="D837" s="30"/>
    </row>
    <row r="838" spans="4:4" ht="16.5">
      <c r="D838" s="30"/>
    </row>
    <row r="839" spans="4:4" ht="16.5">
      <c r="D839" s="30"/>
    </row>
    <row r="840" spans="4:4" ht="16.5">
      <c r="D840" s="30"/>
    </row>
    <row r="841" spans="4:4" ht="16.5">
      <c r="D841" s="30"/>
    </row>
    <row r="842" spans="4:4" ht="16.5">
      <c r="D842" s="30"/>
    </row>
    <row r="843" spans="4:4" ht="16.5">
      <c r="D843" s="30"/>
    </row>
    <row r="844" spans="4:4" ht="16.5">
      <c r="D844" s="30"/>
    </row>
    <row r="845" spans="4:4" ht="16.5">
      <c r="D845" s="30"/>
    </row>
    <row r="846" spans="4:4" ht="16.5">
      <c r="D846" s="30"/>
    </row>
    <row r="847" spans="4:4" ht="16.5">
      <c r="D847" s="30"/>
    </row>
    <row r="848" spans="4:4" ht="16.5">
      <c r="D848" s="30"/>
    </row>
    <row r="849" spans="4:4" ht="16.5">
      <c r="D849" s="30"/>
    </row>
    <row r="850" spans="4:4" ht="16.5">
      <c r="D850" s="30"/>
    </row>
    <row r="851" spans="4:4" ht="16.5">
      <c r="D851" s="30"/>
    </row>
    <row r="852" spans="4:4" ht="16.5">
      <c r="D852" s="30"/>
    </row>
    <row r="853" spans="4:4" ht="16.5">
      <c r="D853" s="30"/>
    </row>
    <row r="854" spans="4:4" ht="16.5">
      <c r="D854" s="30"/>
    </row>
    <row r="855" spans="4:4" ht="16.5">
      <c r="D855" s="30"/>
    </row>
    <row r="856" spans="4:4" ht="16.5">
      <c r="D856" s="30"/>
    </row>
    <row r="857" spans="4:4" ht="16.5">
      <c r="D857" s="30"/>
    </row>
    <row r="858" spans="4:4" ht="16.5">
      <c r="D858" s="30"/>
    </row>
    <row r="859" spans="4:4" ht="16.5">
      <c r="D859" s="30"/>
    </row>
    <row r="860" spans="4:4" ht="16.5">
      <c r="D860" s="30"/>
    </row>
    <row r="861" spans="4:4" ht="16.5">
      <c r="D861" s="30"/>
    </row>
    <row r="862" spans="4:4" ht="16.5">
      <c r="D862" s="30"/>
    </row>
    <row r="863" spans="4:4" ht="16.5">
      <c r="D863" s="30"/>
    </row>
    <row r="864" spans="4:4" ht="16.5">
      <c r="D864" s="30"/>
    </row>
    <row r="865" spans="4:4" ht="16.5">
      <c r="D865" s="30"/>
    </row>
    <row r="866" spans="4:4" ht="16.5">
      <c r="D866" s="30"/>
    </row>
    <row r="867" spans="4:4" ht="16.5">
      <c r="D867" s="30"/>
    </row>
    <row r="868" spans="4:4" ht="16.5">
      <c r="D868" s="30"/>
    </row>
    <row r="869" spans="4:4" ht="16.5">
      <c r="D869" s="30"/>
    </row>
    <row r="870" spans="4:4" ht="16.5">
      <c r="D870" s="30"/>
    </row>
    <row r="871" spans="4:4" ht="16.5">
      <c r="D871" s="30"/>
    </row>
    <row r="872" spans="4:4" ht="16.5">
      <c r="D872" s="30"/>
    </row>
    <row r="873" spans="4:4" ht="16.5">
      <c r="D873" s="30"/>
    </row>
    <row r="874" spans="4:4" ht="16.5">
      <c r="D874" s="30"/>
    </row>
    <row r="875" spans="4:4" ht="16.5">
      <c r="D875" s="30"/>
    </row>
    <row r="876" spans="4:4" ht="16.5">
      <c r="D876" s="30"/>
    </row>
    <row r="877" spans="4:4" ht="16.5">
      <c r="D877" s="30"/>
    </row>
    <row r="878" spans="4:4" ht="16.5">
      <c r="D878" s="30"/>
    </row>
    <row r="879" spans="4:4" ht="16.5">
      <c r="D879" s="30"/>
    </row>
    <row r="880" spans="4:4" ht="16.5">
      <c r="D880" s="30"/>
    </row>
    <row r="881" spans="4:4" ht="16.5">
      <c r="D881" s="30"/>
    </row>
    <row r="882" spans="4:4" ht="16.5">
      <c r="D882" s="30"/>
    </row>
    <row r="883" spans="4:4" ht="16.5">
      <c r="D883" s="30"/>
    </row>
    <row r="884" spans="4:4" ht="16.5">
      <c r="D884" s="30"/>
    </row>
    <row r="885" spans="4:4" ht="16.5">
      <c r="D885" s="30"/>
    </row>
    <row r="886" spans="4:4" ht="16.5">
      <c r="D886" s="30"/>
    </row>
    <row r="887" spans="4:4" ht="16.5">
      <c r="D887" s="30"/>
    </row>
    <row r="888" spans="4:4" ht="16.5">
      <c r="D888" s="30"/>
    </row>
    <row r="889" spans="4:4" ht="16.5">
      <c r="D889" s="30"/>
    </row>
    <row r="890" spans="4:4" ht="16.5">
      <c r="D890" s="30"/>
    </row>
    <row r="891" spans="4:4" ht="16.5">
      <c r="D891" s="30"/>
    </row>
    <row r="892" spans="4:4" ht="16.5">
      <c r="D892" s="30"/>
    </row>
    <row r="893" spans="4:4" ht="16.5">
      <c r="D893" s="30"/>
    </row>
    <row r="894" spans="4:4" ht="16.5">
      <c r="D894" s="30"/>
    </row>
    <row r="895" spans="4:4" ht="16.5">
      <c r="D895" s="30"/>
    </row>
    <row r="896" spans="4:4" ht="16.5">
      <c r="D896" s="30"/>
    </row>
    <row r="897" spans="4:4" ht="16.5">
      <c r="D897" s="30"/>
    </row>
    <row r="898" spans="4:4" ht="16.5">
      <c r="D898" s="30"/>
    </row>
    <row r="899" spans="4:4" ht="16.5">
      <c r="D899" s="30"/>
    </row>
    <row r="900" spans="4:4" ht="16.5">
      <c r="D900" s="30"/>
    </row>
    <row r="901" spans="4:4" ht="16.5">
      <c r="D901" s="30"/>
    </row>
    <row r="902" spans="4:4" ht="16.5">
      <c r="D902" s="30"/>
    </row>
    <row r="903" spans="4:4" ht="16.5">
      <c r="D903" s="30"/>
    </row>
    <row r="904" spans="4:4" ht="16.5">
      <c r="D904" s="30"/>
    </row>
    <row r="905" spans="4:4" ht="16.5">
      <c r="D905" s="30"/>
    </row>
    <row r="906" spans="4:4" ht="16.5">
      <c r="D906" s="30"/>
    </row>
    <row r="907" spans="4:4" ht="16.5">
      <c r="D907" s="30"/>
    </row>
    <row r="908" spans="4:4" ht="16.5">
      <c r="D908" s="30"/>
    </row>
    <row r="909" spans="4:4" ht="16.5">
      <c r="D909" s="30"/>
    </row>
    <row r="910" spans="4:4" ht="16.5">
      <c r="D910" s="30"/>
    </row>
    <row r="911" spans="4:4" ht="16.5">
      <c r="D911" s="30"/>
    </row>
    <row r="912" spans="4:4" ht="16.5">
      <c r="D912" s="30"/>
    </row>
    <row r="913" spans="4:4" ht="16.5">
      <c r="D913" s="30"/>
    </row>
    <row r="914" spans="4:4" ht="16.5">
      <c r="D914" s="30"/>
    </row>
    <row r="915" spans="4:4" ht="16.5">
      <c r="D915" s="30"/>
    </row>
    <row r="916" spans="4:4" ht="16.5">
      <c r="D916" s="30"/>
    </row>
    <row r="917" spans="4:4" ht="16.5">
      <c r="D917" s="30"/>
    </row>
    <row r="918" spans="4:4" ht="16.5">
      <c r="D918" s="30"/>
    </row>
    <row r="919" spans="4:4" ht="16.5">
      <c r="D919" s="30"/>
    </row>
    <row r="920" spans="4:4" ht="16.5">
      <c r="D920" s="30"/>
    </row>
    <row r="921" spans="4:4" ht="16.5">
      <c r="D921" s="30"/>
    </row>
    <row r="922" spans="4:4" ht="16.5">
      <c r="D922" s="30"/>
    </row>
    <row r="923" spans="4:4" ht="16.5">
      <c r="D923" s="30"/>
    </row>
    <row r="924" spans="4:4" ht="16.5">
      <c r="D924" s="30"/>
    </row>
    <row r="925" spans="4:4" ht="16.5">
      <c r="D925" s="30"/>
    </row>
    <row r="926" spans="4:4" ht="16.5">
      <c r="D926" s="30"/>
    </row>
    <row r="927" spans="4:4" ht="16.5">
      <c r="D927" s="30"/>
    </row>
    <row r="928" spans="4:4" ht="16.5">
      <c r="D928" s="30"/>
    </row>
    <row r="929" spans="4:4" ht="16.5">
      <c r="D929" s="30"/>
    </row>
    <row r="930" spans="4:4" ht="16.5">
      <c r="D930" s="30"/>
    </row>
    <row r="931" spans="4:4" ht="16.5">
      <c r="D931" s="30"/>
    </row>
    <row r="932" spans="4:4" ht="16.5">
      <c r="D932" s="30"/>
    </row>
    <row r="933" spans="4:4" ht="16.5">
      <c r="D933" s="30"/>
    </row>
    <row r="934" spans="4:4" ht="16.5">
      <c r="D934" s="30"/>
    </row>
    <row r="935" spans="4:4" ht="16.5">
      <c r="D935" s="30"/>
    </row>
    <row r="936" spans="4:4" ht="16.5">
      <c r="D936" s="30"/>
    </row>
    <row r="937" spans="4:4" ht="16.5">
      <c r="D937" s="30"/>
    </row>
    <row r="938" spans="4:4" ht="16.5">
      <c r="D938" s="30"/>
    </row>
    <row r="939" spans="4:4" ht="16.5">
      <c r="D939" s="30"/>
    </row>
    <row r="940" spans="4:4" ht="16.5">
      <c r="D940" s="30"/>
    </row>
    <row r="941" spans="4:4" ht="16.5">
      <c r="D941" s="30"/>
    </row>
    <row r="942" spans="4:4" ht="16.5">
      <c r="D942" s="30"/>
    </row>
    <row r="943" spans="4:4" ht="16.5">
      <c r="D943" s="30"/>
    </row>
    <row r="944" spans="4:4" ht="16.5">
      <c r="D944" s="30"/>
    </row>
    <row r="945" spans="4:4" ht="16.5">
      <c r="D945" s="30"/>
    </row>
    <row r="946" spans="4:4" ht="16.5">
      <c r="D946" s="30"/>
    </row>
    <row r="947" spans="4:4" ht="16.5">
      <c r="D947" s="30"/>
    </row>
    <row r="948" spans="4:4" ht="16.5">
      <c r="D948" s="30"/>
    </row>
    <row r="949" spans="4:4" ht="16.5">
      <c r="D949" s="30"/>
    </row>
    <row r="950" spans="4:4" ht="16.5">
      <c r="D950" s="30"/>
    </row>
    <row r="951" spans="4:4" ht="16.5">
      <c r="D951" s="30"/>
    </row>
    <row r="952" spans="4:4" ht="16.5">
      <c r="D952" s="30"/>
    </row>
    <row r="953" spans="4:4" ht="16.5">
      <c r="D953" s="30"/>
    </row>
    <row r="954" spans="4:4" ht="16.5">
      <c r="D954" s="30"/>
    </row>
    <row r="955" spans="4:4" ht="16.5">
      <c r="D955" s="30"/>
    </row>
    <row r="956" spans="4:4" ht="16.5">
      <c r="D956" s="30"/>
    </row>
    <row r="957" spans="4:4" ht="16.5">
      <c r="D957" s="30"/>
    </row>
    <row r="958" spans="4:4" ht="16.5">
      <c r="D958" s="30"/>
    </row>
    <row r="959" spans="4:4" ht="16.5">
      <c r="D959" s="30"/>
    </row>
    <row r="960" spans="4:4" ht="16.5">
      <c r="D960" s="30"/>
    </row>
    <row r="961" spans="4:4" ht="16.5">
      <c r="D961" s="30"/>
    </row>
    <row r="962" spans="4:4" ht="16.5">
      <c r="D962" s="30"/>
    </row>
    <row r="963" spans="4:4" ht="16.5">
      <c r="D963" s="30"/>
    </row>
    <row r="964" spans="4:4" ht="16.5">
      <c r="D964" s="30"/>
    </row>
    <row r="965" spans="4:4" ht="16.5">
      <c r="D965" s="30"/>
    </row>
    <row r="966" spans="4:4" ht="16.5">
      <c r="D966" s="30"/>
    </row>
    <row r="967" spans="4:4" ht="16.5">
      <c r="D967" s="30"/>
    </row>
    <row r="968" spans="4:4" ht="16.5">
      <c r="D968" s="30"/>
    </row>
    <row r="969" spans="4:4" ht="16.5">
      <c r="D969" s="30"/>
    </row>
    <row r="970" spans="4:4" ht="16.5">
      <c r="D970" s="30"/>
    </row>
    <row r="971" spans="4:4" ht="16.5">
      <c r="D971" s="30"/>
    </row>
    <row r="972" spans="4:4" ht="16.5">
      <c r="D972" s="30"/>
    </row>
    <row r="973" spans="4:4" ht="16.5">
      <c r="D973" s="30"/>
    </row>
    <row r="974" spans="4:4" ht="16.5">
      <c r="D974" s="30"/>
    </row>
    <row r="975" spans="4:4" ht="16.5">
      <c r="D975" s="30"/>
    </row>
    <row r="976" spans="4:4" ht="16.5">
      <c r="D976" s="30"/>
    </row>
    <row r="977" spans="4:4" ht="16.5">
      <c r="D977" s="30"/>
    </row>
    <row r="978" spans="4:4" ht="16.5">
      <c r="D978" s="30"/>
    </row>
    <row r="979" spans="4:4" ht="16.5">
      <c r="D979" s="30"/>
    </row>
    <row r="980" spans="4:4" ht="16.5">
      <c r="D980" s="30"/>
    </row>
    <row r="981" spans="4:4" ht="16.5">
      <c r="D981" s="30"/>
    </row>
    <row r="982" spans="4:4" ht="16.5">
      <c r="D982" s="30"/>
    </row>
    <row r="983" spans="4:4" ht="16.5">
      <c r="D983" s="30"/>
    </row>
    <row r="984" spans="4:4" ht="16.5">
      <c r="D984" s="30"/>
    </row>
    <row r="985" spans="4:4" ht="16.5">
      <c r="D985" s="30"/>
    </row>
    <row r="986" spans="4:4" ht="16.5">
      <c r="D986" s="30"/>
    </row>
    <row r="987" spans="4:4" ht="16.5">
      <c r="D987" s="30"/>
    </row>
    <row r="988" spans="4:4" ht="16.5">
      <c r="D988" s="30"/>
    </row>
    <row r="989" spans="4:4" ht="16.5">
      <c r="D989" s="30"/>
    </row>
    <row r="990" spans="4:4" ht="16.5">
      <c r="D990" s="30"/>
    </row>
    <row r="991" spans="4:4" ht="16.5">
      <c r="D991" s="30"/>
    </row>
    <row r="992" spans="4:4" ht="16.5">
      <c r="D992" s="30"/>
    </row>
    <row r="993" spans="4:4" ht="16.5">
      <c r="D993" s="30"/>
    </row>
    <row r="994" spans="4:4" ht="16.5">
      <c r="D994" s="30"/>
    </row>
    <row r="995" spans="4:4" ht="16.5">
      <c r="D995" s="30"/>
    </row>
  </sheetData>
  <mergeCells count="4">
    <mergeCell ref="A1:C1"/>
    <mergeCell ref="A2:C2"/>
    <mergeCell ref="B3:E3"/>
    <mergeCell ref="B4:E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9"/>
  <sheetViews>
    <sheetView tabSelected="1" topLeftCell="A31" workbookViewId="0">
      <selection sqref="A1:C1"/>
    </sheetView>
  </sheetViews>
  <sheetFormatPr defaultColWidth="12.625" defaultRowHeight="15" customHeight="1"/>
  <cols>
    <col min="1" max="1" width="5.625" customWidth="1"/>
    <col min="2" max="2" width="21.875" customWidth="1"/>
    <col min="3" max="3" width="17.25" customWidth="1"/>
    <col min="4" max="4" width="5.25" customWidth="1"/>
    <col min="5" max="5" width="5.5" customWidth="1"/>
    <col min="6" max="6" width="21.5" customWidth="1"/>
    <col min="7" max="7" width="7.125" customWidth="1"/>
    <col min="8" max="8" width="7.875" customWidth="1"/>
    <col min="9" max="9" width="7" customWidth="1"/>
    <col min="10" max="10" width="7.5" customWidth="1"/>
    <col min="11" max="11" width="16.875" hidden="1" customWidth="1"/>
    <col min="12" max="12" width="7.5" hidden="1" customWidth="1"/>
    <col min="13" max="13" width="12.875" customWidth="1"/>
    <col min="14" max="14" width="10.125" customWidth="1"/>
    <col min="15" max="37" width="7.625" customWidth="1"/>
  </cols>
  <sheetData>
    <row r="1" spans="1:16" ht="15.75" customHeight="1">
      <c r="A1" s="38" t="s">
        <v>3</v>
      </c>
      <c r="B1" s="35"/>
      <c r="C1" s="35"/>
      <c r="D1" s="9"/>
      <c r="E1" s="9"/>
      <c r="F1" s="10"/>
      <c r="G1" s="10"/>
      <c r="H1" s="10"/>
      <c r="I1" s="10"/>
      <c r="J1" s="10"/>
      <c r="K1" s="11"/>
      <c r="L1" s="11"/>
    </row>
    <row r="2" spans="1:16" ht="15.75" customHeight="1">
      <c r="A2" s="39" t="s">
        <v>4</v>
      </c>
      <c r="B2" s="35"/>
      <c r="C2" s="35"/>
      <c r="D2" s="9"/>
      <c r="E2" s="9"/>
      <c r="F2" s="10"/>
      <c r="G2" s="10"/>
      <c r="H2" s="10"/>
      <c r="I2" s="10"/>
      <c r="J2" s="10"/>
      <c r="K2" s="11"/>
      <c r="L2" s="11"/>
    </row>
    <row r="3" spans="1:16" ht="15.75" customHeight="1">
      <c r="A3" s="34" t="str">
        <f>Count!A1</f>
        <v>KẾT QUẢ CẤP ĐỘ 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12"/>
    </row>
    <row r="4" spans="1:16" ht="15.75" customHeight="1">
      <c r="A4" s="36" t="s">
        <v>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6" ht="14.25">
      <c r="A5" s="37" t="s">
        <v>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6" ht="63">
      <c r="A6" s="13" t="s">
        <v>7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3" t="s">
        <v>13</v>
      </c>
      <c r="H6" s="13" t="s">
        <v>14</v>
      </c>
      <c r="I6" s="13" t="s">
        <v>15</v>
      </c>
      <c r="J6" s="13" t="s">
        <v>16</v>
      </c>
      <c r="K6" s="13" t="s">
        <v>17</v>
      </c>
      <c r="L6" s="13" t="s">
        <v>18</v>
      </c>
      <c r="M6" s="14" t="s">
        <v>19</v>
      </c>
      <c r="N6" s="14" t="s">
        <v>20</v>
      </c>
      <c r="O6" s="18"/>
      <c r="P6" s="18" t="s">
        <v>22</v>
      </c>
    </row>
    <row r="7" spans="1:16" ht="15.75">
      <c r="A7" s="15">
        <f ca="1">IFERROR(__xludf.DUMMYFUNCTION("QUERY(All!A7:N658,""select * where F='""&amp; P6 &amp;""'"")"),2)</f>
        <v>2</v>
      </c>
      <c r="B7" s="15" t="str">
        <f ca="1">IFERROR(__xludf.DUMMYFUNCTION("""COMPUTED_VALUE"""),"Nguyễn Tuấn Minh")</f>
        <v>Nguyễn Tuấn Minh</v>
      </c>
      <c r="C7" s="15" t="str">
        <f ca="1">IFERROR(__xludf.DUMMYFUNCTION("""COMPUTED_VALUE"""),"s1-15524")</f>
        <v>s1-15524</v>
      </c>
      <c r="D7" s="15">
        <f ca="1">IFERROR(__xludf.DUMMYFUNCTION("""COMPUTED_VALUE"""),4)</f>
        <v>4</v>
      </c>
      <c r="E7" s="15" t="str">
        <f ca="1">IFERROR(__xludf.DUMMYFUNCTION("""COMPUTED_VALUE"""),"4A6")</f>
        <v>4A6</v>
      </c>
      <c r="F7" s="15" t="str">
        <f ca="1">IFERROR(__xludf.DUMMYFUNCTION("""COMPUTED_VALUE"""),"TH Thành Công A")</f>
        <v>TH Thành Công A</v>
      </c>
      <c r="G7" s="15">
        <f ca="1">IFERROR(__xludf.DUMMYFUNCTION("""COMPUTED_VALUE"""),0)</f>
        <v>0</v>
      </c>
      <c r="H7" s="15">
        <f ca="1">IFERROR(__xludf.DUMMYFUNCTION("""COMPUTED_VALUE"""),20)</f>
        <v>20</v>
      </c>
      <c r="I7" s="15">
        <f ca="1">IFERROR(__xludf.DUMMYFUNCTION("""COMPUTED_VALUE"""),100)</f>
        <v>100</v>
      </c>
      <c r="J7" s="15">
        <f ca="1">IFERROR(__xludf.DUMMYFUNCTION("""COMPUTED_VALUE"""),100)</f>
        <v>100</v>
      </c>
      <c r="K7" s="15" t="str">
        <f ca="1">IFERROR(__xludf.DUMMYFUNCTION("""COMPUTED_VALUE"""),"28/02/2021 20:22:52")</f>
        <v>28/02/2021 20:22:52</v>
      </c>
      <c r="L7" s="15">
        <f ca="1">IFERROR(__xludf.DUMMYFUNCTION("""COMPUTED_VALUE"""),1363)</f>
        <v>1363</v>
      </c>
      <c r="M7" s="16">
        <f ca="1">IFERROR(__xludf.DUMMYFUNCTION("""COMPUTED_VALUE"""),22.7166666666666)</f>
        <v>22.716666666666601</v>
      </c>
      <c r="N7" s="17" t="str">
        <f ca="1">IFERROR(__xludf.DUMMYFUNCTION("""COMPUTED_VALUE"""),"✓")</f>
        <v>✓</v>
      </c>
    </row>
    <row r="8" spans="1:16" ht="15.75">
      <c r="A8" s="15">
        <f ca="1">IFERROR(__xludf.DUMMYFUNCTION("""COMPUTED_VALUE"""),8)</f>
        <v>8</v>
      </c>
      <c r="B8" s="15" t="str">
        <f ca="1">IFERROR(__xludf.DUMMYFUNCTION("""COMPUTED_VALUE"""),"Lê Phúc Thanh")</f>
        <v>Lê Phúc Thanh</v>
      </c>
      <c r="C8" s="15" t="str">
        <f ca="1">IFERROR(__xludf.DUMMYFUNCTION("""COMPUTED_VALUE"""),"s1-16573")</f>
        <v>s1-16573</v>
      </c>
      <c r="D8" s="15">
        <f ca="1">IFERROR(__xludf.DUMMYFUNCTION("""COMPUTED_VALUE"""),5)</f>
        <v>5</v>
      </c>
      <c r="E8" s="15" t="str">
        <f ca="1">IFERROR(__xludf.DUMMYFUNCTION("""COMPUTED_VALUE"""),"5A3")</f>
        <v>5A3</v>
      </c>
      <c r="F8" s="15" t="str">
        <f ca="1">IFERROR(__xludf.DUMMYFUNCTION("""COMPUTED_VALUE"""),"TH Thành Công A")</f>
        <v>TH Thành Công A</v>
      </c>
      <c r="G8" s="15">
        <f ca="1">IFERROR(__xludf.DUMMYFUNCTION("""COMPUTED_VALUE"""),0)</f>
        <v>0</v>
      </c>
      <c r="H8" s="15">
        <f ca="1">IFERROR(__xludf.DUMMYFUNCTION("""COMPUTED_VALUE"""),20)</f>
        <v>20</v>
      </c>
      <c r="I8" s="15">
        <f ca="1">IFERROR(__xludf.DUMMYFUNCTION("""COMPUTED_VALUE"""),100)</f>
        <v>100</v>
      </c>
      <c r="J8" s="15">
        <f ca="1">IFERROR(__xludf.DUMMYFUNCTION("""COMPUTED_VALUE"""),100)</f>
        <v>100</v>
      </c>
      <c r="K8" s="15" t="str">
        <f ca="1">IFERROR(__xludf.DUMMYFUNCTION("""COMPUTED_VALUE"""),"28/02/2021 20:55:29")</f>
        <v>28/02/2021 20:55:29</v>
      </c>
      <c r="L8" s="15">
        <f ca="1">IFERROR(__xludf.DUMMYFUNCTION("""COMPUTED_VALUE"""),3325)</f>
        <v>3325</v>
      </c>
      <c r="M8" s="16">
        <f ca="1">IFERROR(__xludf.DUMMYFUNCTION("""COMPUTED_VALUE"""),55.4166666666666)</f>
        <v>55.4166666666666</v>
      </c>
      <c r="N8" s="17" t="str">
        <f ca="1">IFERROR(__xludf.DUMMYFUNCTION("""COMPUTED_VALUE"""),"✓")</f>
        <v>✓</v>
      </c>
    </row>
    <row r="9" spans="1:16" ht="15.75">
      <c r="A9" s="15">
        <f ca="1">IFERROR(__xludf.DUMMYFUNCTION("""COMPUTED_VALUE"""),53)</f>
        <v>53</v>
      </c>
      <c r="B9" s="15" t="str">
        <f ca="1">IFERROR(__xludf.DUMMYFUNCTION("""COMPUTED_VALUE"""),"Nguyễn An Phong")</f>
        <v>Nguyễn An Phong</v>
      </c>
      <c r="C9" s="15" t="str">
        <f ca="1">IFERROR(__xludf.DUMMYFUNCTION("""COMPUTED_VALUE"""),"s1-15540")</f>
        <v>s1-15540</v>
      </c>
      <c r="D9" s="15">
        <f ca="1">IFERROR(__xludf.DUMMYFUNCTION("""COMPUTED_VALUE"""),4)</f>
        <v>4</v>
      </c>
      <c r="E9" s="15" t="str">
        <f ca="1">IFERROR(__xludf.DUMMYFUNCTION("""COMPUTED_VALUE"""),"4A6")</f>
        <v>4A6</v>
      </c>
      <c r="F9" s="15" t="str">
        <f ca="1">IFERROR(__xludf.DUMMYFUNCTION("""COMPUTED_VALUE"""),"TH Thành Công A")</f>
        <v>TH Thành Công A</v>
      </c>
      <c r="G9" s="15">
        <f ca="1">IFERROR(__xludf.DUMMYFUNCTION("""COMPUTED_VALUE"""),2)</f>
        <v>2</v>
      </c>
      <c r="H9" s="15">
        <f ca="1">IFERROR(__xludf.DUMMYFUNCTION("""COMPUTED_VALUE"""),18)</f>
        <v>18</v>
      </c>
      <c r="I9" s="15">
        <f ca="1">IFERROR(__xludf.DUMMYFUNCTION("""COMPUTED_VALUE"""),90)</f>
        <v>90</v>
      </c>
      <c r="J9" s="15">
        <f ca="1">IFERROR(__xludf.DUMMYFUNCTION("""COMPUTED_VALUE"""),100)</f>
        <v>100</v>
      </c>
      <c r="K9" s="15" t="str">
        <f ca="1">IFERROR(__xludf.DUMMYFUNCTION("""COMPUTED_VALUE"""),"28/02/2021 20:29:42")</f>
        <v>28/02/2021 20:29:42</v>
      </c>
      <c r="L9" s="15">
        <f ca="1">IFERROR(__xludf.DUMMYFUNCTION("""COMPUTED_VALUE"""),1759)</f>
        <v>1759</v>
      </c>
      <c r="M9" s="16">
        <f ca="1">IFERROR(__xludf.DUMMYFUNCTION("""COMPUTED_VALUE"""),29.3166666666666)</f>
        <v>29.316666666666599</v>
      </c>
      <c r="N9" s="17" t="str">
        <f ca="1">IFERROR(__xludf.DUMMYFUNCTION("""COMPUTED_VALUE"""),"✓")</f>
        <v>✓</v>
      </c>
    </row>
    <row r="10" spans="1:16" ht="15.75">
      <c r="A10" s="15">
        <f ca="1">IFERROR(__xludf.DUMMYFUNCTION("""COMPUTED_VALUE"""),60)</f>
        <v>60</v>
      </c>
      <c r="B10" s="15" t="str">
        <f ca="1">IFERROR(__xludf.DUMMYFUNCTION("""COMPUTED_VALUE"""),"Phạm Minh Tuệ")</f>
        <v>Phạm Minh Tuệ</v>
      </c>
      <c r="C10" s="15" t="str">
        <f ca="1">IFERROR(__xludf.DUMMYFUNCTION("""COMPUTED_VALUE"""),"s1-15518")</f>
        <v>s1-15518</v>
      </c>
      <c r="D10" s="15">
        <f ca="1">IFERROR(__xludf.DUMMYFUNCTION("""COMPUTED_VALUE"""),4)</f>
        <v>4</v>
      </c>
      <c r="E10" s="15" t="str">
        <f ca="1">IFERROR(__xludf.DUMMYFUNCTION("""COMPUTED_VALUE"""),"4A5")</f>
        <v>4A5</v>
      </c>
      <c r="F10" s="15" t="str">
        <f ca="1">IFERROR(__xludf.DUMMYFUNCTION("""COMPUTED_VALUE"""),"TH Thành Công A")</f>
        <v>TH Thành Công A</v>
      </c>
      <c r="G10" s="15">
        <f ca="1">IFERROR(__xludf.DUMMYFUNCTION("""COMPUTED_VALUE"""),2)</f>
        <v>2</v>
      </c>
      <c r="H10" s="15">
        <f ca="1">IFERROR(__xludf.DUMMYFUNCTION("""COMPUTED_VALUE"""),18)</f>
        <v>18</v>
      </c>
      <c r="I10" s="15">
        <f ca="1">IFERROR(__xludf.DUMMYFUNCTION("""COMPUTED_VALUE"""),90)</f>
        <v>90</v>
      </c>
      <c r="J10" s="15">
        <f ca="1">IFERROR(__xludf.DUMMYFUNCTION("""COMPUTED_VALUE"""),100)</f>
        <v>100</v>
      </c>
      <c r="K10" s="15" t="str">
        <f ca="1">IFERROR(__xludf.DUMMYFUNCTION("""COMPUTED_VALUE"""),"28/02/2021 20:32:23")</f>
        <v>28/02/2021 20:32:23</v>
      </c>
      <c r="L10" s="15">
        <f ca="1">IFERROR(__xludf.DUMMYFUNCTION("""COMPUTED_VALUE"""),1940)</f>
        <v>1940</v>
      </c>
      <c r="M10" s="16">
        <f ca="1">IFERROR(__xludf.DUMMYFUNCTION("""COMPUTED_VALUE"""),32.3333333333333)</f>
        <v>32.3333333333333</v>
      </c>
      <c r="N10" s="17" t="str">
        <f ca="1">IFERROR(__xludf.DUMMYFUNCTION("""COMPUTED_VALUE"""),"✓")</f>
        <v>✓</v>
      </c>
    </row>
    <row r="11" spans="1:16" ht="15.75">
      <c r="A11" s="15">
        <f ca="1">IFERROR(__xludf.DUMMYFUNCTION("""COMPUTED_VALUE"""),73)</f>
        <v>73</v>
      </c>
      <c r="B11" s="15" t="str">
        <f ca="1">IFERROR(__xludf.DUMMYFUNCTION("""COMPUTED_VALUE"""),"Nguyễn Tuấn Long")</f>
        <v>Nguyễn Tuấn Long</v>
      </c>
      <c r="C11" s="15" t="str">
        <f ca="1">IFERROR(__xludf.DUMMYFUNCTION("""COMPUTED_VALUE"""),"s1-15546")</f>
        <v>s1-15546</v>
      </c>
      <c r="D11" s="15">
        <f ca="1">IFERROR(__xludf.DUMMYFUNCTION("""COMPUTED_VALUE"""),5)</f>
        <v>5</v>
      </c>
      <c r="E11" s="15" t="str">
        <f ca="1">IFERROR(__xludf.DUMMYFUNCTION("""COMPUTED_VALUE"""),"5A5")</f>
        <v>5A5</v>
      </c>
      <c r="F11" s="15" t="str">
        <f ca="1">IFERROR(__xludf.DUMMYFUNCTION("""COMPUTED_VALUE"""),"TH Thành Công A")</f>
        <v>TH Thành Công A</v>
      </c>
      <c r="G11" s="15">
        <f ca="1">IFERROR(__xludf.DUMMYFUNCTION("""COMPUTED_VALUE"""),2)</f>
        <v>2</v>
      </c>
      <c r="H11" s="15">
        <f ca="1">IFERROR(__xludf.DUMMYFUNCTION("""COMPUTED_VALUE"""),18)</f>
        <v>18</v>
      </c>
      <c r="I11" s="15">
        <f ca="1">IFERROR(__xludf.DUMMYFUNCTION("""COMPUTED_VALUE"""),90)</f>
        <v>90</v>
      </c>
      <c r="J11" s="15">
        <f ca="1">IFERROR(__xludf.DUMMYFUNCTION("""COMPUTED_VALUE"""),100)</f>
        <v>100</v>
      </c>
      <c r="K11" s="15" t="str">
        <f ca="1">IFERROR(__xludf.DUMMYFUNCTION("""COMPUTED_VALUE"""),"28/02/2021 20:49:15")</f>
        <v>28/02/2021 20:49:15</v>
      </c>
      <c r="L11" s="15">
        <f ca="1">IFERROR(__xludf.DUMMYFUNCTION("""COMPUTED_VALUE"""),2952)</f>
        <v>2952</v>
      </c>
      <c r="M11" s="16">
        <f ca="1">IFERROR(__xludf.DUMMYFUNCTION("""COMPUTED_VALUE"""),49.2)</f>
        <v>49.2</v>
      </c>
      <c r="N11" s="17" t="str">
        <f ca="1">IFERROR(__xludf.DUMMYFUNCTION("""COMPUTED_VALUE"""),"✓")</f>
        <v>✓</v>
      </c>
    </row>
    <row r="12" spans="1:16" ht="15.75">
      <c r="A12" s="15">
        <f ca="1">IFERROR(__xludf.DUMMYFUNCTION("""COMPUTED_VALUE"""),80)</f>
        <v>80</v>
      </c>
      <c r="B12" s="15" t="str">
        <f ca="1">IFERROR(__xludf.DUMMYFUNCTION("""COMPUTED_VALUE"""),"Lê Vi An")</f>
        <v>Lê Vi An</v>
      </c>
      <c r="C12" s="15" t="str">
        <f ca="1">IFERROR(__xludf.DUMMYFUNCTION("""COMPUTED_VALUE"""),"s1-15527")</f>
        <v>s1-15527</v>
      </c>
      <c r="D12" s="15">
        <f ca="1">IFERROR(__xludf.DUMMYFUNCTION("""COMPUTED_VALUE"""),4)</f>
        <v>4</v>
      </c>
      <c r="E12" s="15" t="str">
        <f ca="1">IFERROR(__xludf.DUMMYFUNCTION("""COMPUTED_VALUE"""),"4A6")</f>
        <v>4A6</v>
      </c>
      <c r="F12" s="15" t="str">
        <f ca="1">IFERROR(__xludf.DUMMYFUNCTION("""COMPUTED_VALUE"""),"TH Thành Công A")</f>
        <v>TH Thành Công A</v>
      </c>
      <c r="G12" s="15">
        <f ca="1">IFERROR(__xludf.DUMMYFUNCTION("""COMPUTED_VALUE"""),3)</f>
        <v>3</v>
      </c>
      <c r="H12" s="15">
        <f ca="1">IFERROR(__xludf.DUMMYFUNCTION("""COMPUTED_VALUE"""),17)</f>
        <v>17</v>
      </c>
      <c r="I12" s="15">
        <f ca="1">IFERROR(__xludf.DUMMYFUNCTION("""COMPUTED_VALUE"""),85)</f>
        <v>85</v>
      </c>
      <c r="J12" s="15">
        <f ca="1">IFERROR(__xludf.DUMMYFUNCTION("""COMPUTED_VALUE"""),100)</f>
        <v>100</v>
      </c>
      <c r="K12" s="15" t="str">
        <f ca="1">IFERROR(__xludf.DUMMYFUNCTION("""COMPUTED_VALUE"""),"28/02/2021 20:17:07")</f>
        <v>28/02/2021 20:17:07</v>
      </c>
      <c r="L12" s="15">
        <f ca="1">IFERROR(__xludf.DUMMYFUNCTION("""COMPUTED_VALUE"""),1024)</f>
        <v>1024</v>
      </c>
      <c r="M12" s="16">
        <f ca="1">IFERROR(__xludf.DUMMYFUNCTION("""COMPUTED_VALUE"""),17.0666666666666)</f>
        <v>17.066666666666599</v>
      </c>
      <c r="N12" s="17" t="str">
        <f ca="1">IFERROR(__xludf.DUMMYFUNCTION("""COMPUTED_VALUE"""),"✓")</f>
        <v>✓</v>
      </c>
    </row>
    <row r="13" spans="1:16" ht="15.75">
      <c r="A13" s="15">
        <f ca="1">IFERROR(__xludf.DUMMYFUNCTION("""COMPUTED_VALUE"""),86)</f>
        <v>86</v>
      </c>
      <c r="B13" s="15" t="str">
        <f ca="1">IFERROR(__xludf.DUMMYFUNCTION("""COMPUTED_VALUE"""),"Nguyễn Thanh Tùng")</f>
        <v>Nguyễn Thanh Tùng</v>
      </c>
      <c r="C13" s="15" t="str">
        <f ca="1">IFERROR(__xludf.DUMMYFUNCTION("""COMPUTED_VALUE"""),"s1-15213")</f>
        <v>s1-15213</v>
      </c>
      <c r="D13" s="15">
        <f ca="1">IFERROR(__xludf.DUMMYFUNCTION("""COMPUTED_VALUE"""),4)</f>
        <v>4</v>
      </c>
      <c r="E13" s="15" t="str">
        <f ca="1">IFERROR(__xludf.DUMMYFUNCTION("""COMPUTED_VALUE"""),"4A6")</f>
        <v>4A6</v>
      </c>
      <c r="F13" s="15" t="str">
        <f ca="1">IFERROR(__xludf.DUMMYFUNCTION("""COMPUTED_VALUE"""),"TH Thành Công A")</f>
        <v>TH Thành Công A</v>
      </c>
      <c r="G13" s="15">
        <f ca="1">IFERROR(__xludf.DUMMYFUNCTION("""COMPUTED_VALUE"""),3)</f>
        <v>3</v>
      </c>
      <c r="H13" s="15">
        <f ca="1">IFERROR(__xludf.DUMMYFUNCTION("""COMPUTED_VALUE"""),17)</f>
        <v>17</v>
      </c>
      <c r="I13" s="15">
        <f ca="1">IFERROR(__xludf.DUMMYFUNCTION("""COMPUTED_VALUE"""),85)</f>
        <v>85</v>
      </c>
      <c r="J13" s="15">
        <f ca="1">IFERROR(__xludf.DUMMYFUNCTION("""COMPUTED_VALUE"""),100)</f>
        <v>100</v>
      </c>
      <c r="K13" s="15" t="str">
        <f ca="1">IFERROR(__xludf.DUMMYFUNCTION("""COMPUTED_VALUE"""),"28/02/2021 20:20:07")</f>
        <v>28/02/2021 20:20:07</v>
      </c>
      <c r="L13" s="15">
        <f ca="1">IFERROR(__xludf.DUMMYFUNCTION("""COMPUTED_VALUE"""),1202)</f>
        <v>1202</v>
      </c>
      <c r="M13" s="16">
        <f ca="1">IFERROR(__xludf.DUMMYFUNCTION("""COMPUTED_VALUE"""),20.0333333333333)</f>
        <v>20.033333333333299</v>
      </c>
      <c r="N13" s="17" t="str">
        <f ca="1">IFERROR(__xludf.DUMMYFUNCTION("""COMPUTED_VALUE"""),"✓")</f>
        <v>✓</v>
      </c>
    </row>
    <row r="14" spans="1:16" ht="15.75">
      <c r="A14" s="15">
        <f ca="1">IFERROR(__xludf.DUMMYFUNCTION("""COMPUTED_VALUE"""),87)</f>
        <v>87</v>
      </c>
      <c r="B14" s="15" t="str">
        <f ca="1">IFERROR(__xludf.DUMMYFUNCTION("""COMPUTED_VALUE"""),"Nguyễn Thế Công")</f>
        <v>Nguyễn Thế Công</v>
      </c>
      <c r="C14" s="15" t="str">
        <f ca="1">IFERROR(__xludf.DUMMYFUNCTION("""COMPUTED_VALUE"""),"s1-15522")</f>
        <v>s1-15522</v>
      </c>
      <c r="D14" s="15">
        <f ca="1">IFERROR(__xludf.DUMMYFUNCTION("""COMPUTED_VALUE"""),4)</f>
        <v>4</v>
      </c>
      <c r="E14" s="15" t="str">
        <f ca="1">IFERROR(__xludf.DUMMYFUNCTION("""COMPUTED_VALUE"""),"4A5")</f>
        <v>4A5</v>
      </c>
      <c r="F14" s="15" t="str">
        <f ca="1">IFERROR(__xludf.DUMMYFUNCTION("""COMPUTED_VALUE"""),"TH Thành Công A")</f>
        <v>TH Thành Công A</v>
      </c>
      <c r="G14" s="15">
        <f ca="1">IFERROR(__xludf.DUMMYFUNCTION("""COMPUTED_VALUE"""),3)</f>
        <v>3</v>
      </c>
      <c r="H14" s="15">
        <f ca="1">IFERROR(__xludf.DUMMYFUNCTION("""COMPUTED_VALUE"""),17)</f>
        <v>17</v>
      </c>
      <c r="I14" s="15">
        <f ca="1">IFERROR(__xludf.DUMMYFUNCTION("""COMPUTED_VALUE"""),85)</f>
        <v>85</v>
      </c>
      <c r="J14" s="15">
        <f ca="1">IFERROR(__xludf.DUMMYFUNCTION("""COMPUTED_VALUE"""),100)</f>
        <v>100</v>
      </c>
      <c r="K14" s="15" t="str">
        <f ca="1">IFERROR(__xludf.DUMMYFUNCTION("""COMPUTED_VALUE"""),"28/02/2021 20:20:42")</f>
        <v>28/02/2021 20:20:42</v>
      </c>
      <c r="L14" s="15">
        <f ca="1">IFERROR(__xludf.DUMMYFUNCTION("""COMPUTED_VALUE"""),1232)</f>
        <v>1232</v>
      </c>
      <c r="M14" s="16">
        <f ca="1">IFERROR(__xludf.DUMMYFUNCTION("""COMPUTED_VALUE"""),20.5333333333333)</f>
        <v>20.533333333333299</v>
      </c>
      <c r="N14" s="17" t="str">
        <f ca="1">IFERROR(__xludf.DUMMYFUNCTION("""COMPUTED_VALUE"""),"✓")</f>
        <v>✓</v>
      </c>
    </row>
    <row r="15" spans="1:16" ht="15.75">
      <c r="A15" s="15">
        <f ca="1">IFERROR(__xludf.DUMMYFUNCTION("""COMPUTED_VALUE"""),101)</f>
        <v>101</v>
      </c>
      <c r="B15" s="15" t="str">
        <f ca="1">IFERROR(__xludf.DUMMYFUNCTION("""COMPUTED_VALUE"""),"Nguyễn An Khánh")</f>
        <v>Nguyễn An Khánh</v>
      </c>
      <c r="C15" s="15" t="str">
        <f ca="1">IFERROR(__xludf.DUMMYFUNCTION("""COMPUTED_VALUE"""),"s1-15547")</f>
        <v>s1-15547</v>
      </c>
      <c r="D15" s="15">
        <f ca="1">IFERROR(__xludf.DUMMYFUNCTION("""COMPUTED_VALUE"""),5)</f>
        <v>5</v>
      </c>
      <c r="E15" s="15" t="str">
        <f ca="1">IFERROR(__xludf.DUMMYFUNCTION("""COMPUTED_VALUE"""),"5A5")</f>
        <v>5A5</v>
      </c>
      <c r="F15" s="15" t="str">
        <f ca="1">IFERROR(__xludf.DUMMYFUNCTION("""COMPUTED_VALUE"""),"TH Thành Công A")</f>
        <v>TH Thành Công A</v>
      </c>
      <c r="G15" s="15">
        <f ca="1">IFERROR(__xludf.DUMMYFUNCTION("""COMPUTED_VALUE"""),3)</f>
        <v>3</v>
      </c>
      <c r="H15" s="15">
        <f ca="1">IFERROR(__xludf.DUMMYFUNCTION("""COMPUTED_VALUE"""),17)</f>
        <v>17</v>
      </c>
      <c r="I15" s="15">
        <f ca="1">IFERROR(__xludf.DUMMYFUNCTION("""COMPUTED_VALUE"""),85)</f>
        <v>85</v>
      </c>
      <c r="J15" s="15">
        <f ca="1">IFERROR(__xludf.DUMMYFUNCTION("""COMPUTED_VALUE"""),100)</f>
        <v>100</v>
      </c>
      <c r="K15" s="15" t="str">
        <f ca="1">IFERROR(__xludf.DUMMYFUNCTION("""COMPUTED_VALUE"""),"28/02/2021 20:27:35")</f>
        <v>28/02/2021 20:27:35</v>
      </c>
      <c r="L15" s="15">
        <f ca="1">IFERROR(__xludf.DUMMYFUNCTION("""COMPUTED_VALUE"""),1651)</f>
        <v>1651</v>
      </c>
      <c r="M15" s="16">
        <f ca="1">IFERROR(__xludf.DUMMYFUNCTION("""COMPUTED_VALUE"""),27.5166666666666)</f>
        <v>27.516666666666602</v>
      </c>
      <c r="N15" s="17" t="str">
        <f ca="1">IFERROR(__xludf.DUMMYFUNCTION("""COMPUTED_VALUE"""),"✓")</f>
        <v>✓</v>
      </c>
    </row>
    <row r="16" spans="1:16" ht="15.75">
      <c r="A16" s="15">
        <f ca="1">IFERROR(__xludf.DUMMYFUNCTION("""COMPUTED_VALUE"""),111)</f>
        <v>111</v>
      </c>
      <c r="B16" s="15" t="str">
        <f ca="1">IFERROR(__xludf.DUMMYFUNCTION("""COMPUTED_VALUE"""),"Trần Vĩnh Hưng")</f>
        <v>Trần Vĩnh Hưng</v>
      </c>
      <c r="C16" s="15" t="str">
        <f ca="1">IFERROR(__xludf.DUMMYFUNCTION("""COMPUTED_VALUE"""),"s1-15502")</f>
        <v>s1-15502</v>
      </c>
      <c r="D16" s="15">
        <f ca="1">IFERROR(__xludf.DUMMYFUNCTION("""COMPUTED_VALUE"""),4)</f>
        <v>4</v>
      </c>
      <c r="E16" s="15" t="str">
        <f ca="1">IFERROR(__xludf.DUMMYFUNCTION("""COMPUTED_VALUE"""),"4A1")</f>
        <v>4A1</v>
      </c>
      <c r="F16" s="15" t="str">
        <f ca="1">IFERROR(__xludf.DUMMYFUNCTION("""COMPUTED_VALUE"""),"TH Thành Công A")</f>
        <v>TH Thành Công A</v>
      </c>
      <c r="G16" s="15">
        <f ca="1">IFERROR(__xludf.DUMMYFUNCTION("""COMPUTED_VALUE"""),3)</f>
        <v>3</v>
      </c>
      <c r="H16" s="15">
        <f ca="1">IFERROR(__xludf.DUMMYFUNCTION("""COMPUTED_VALUE"""),17)</f>
        <v>17</v>
      </c>
      <c r="I16" s="15">
        <f ca="1">IFERROR(__xludf.DUMMYFUNCTION("""COMPUTED_VALUE"""),85)</f>
        <v>85</v>
      </c>
      <c r="J16" s="15">
        <f ca="1">IFERROR(__xludf.DUMMYFUNCTION("""COMPUTED_VALUE"""),100)</f>
        <v>100</v>
      </c>
      <c r="K16" s="15" t="str">
        <f ca="1">IFERROR(__xludf.DUMMYFUNCTION("""COMPUTED_VALUE"""),"28/02/2021 20:58:08")</f>
        <v>28/02/2021 20:58:08</v>
      </c>
      <c r="L16" s="15">
        <f ca="1">IFERROR(__xludf.DUMMYFUNCTION("""COMPUTED_VALUE"""),1894)</f>
        <v>1894</v>
      </c>
      <c r="M16" s="16">
        <f ca="1">IFERROR(__xludf.DUMMYFUNCTION("""COMPUTED_VALUE"""),31.5666666666666)</f>
        <v>31.566666666666599</v>
      </c>
      <c r="N16" s="17" t="str">
        <f ca="1">IFERROR(__xludf.DUMMYFUNCTION("""COMPUTED_VALUE"""),"✓")</f>
        <v>✓</v>
      </c>
    </row>
    <row r="17" spans="1:14" ht="15.75">
      <c r="A17" s="15">
        <f ca="1">IFERROR(__xludf.DUMMYFUNCTION("""COMPUTED_VALUE"""),121)</f>
        <v>121</v>
      </c>
      <c r="B17" s="15" t="str">
        <f ca="1">IFERROR(__xludf.DUMMYFUNCTION("""COMPUTED_VALUE"""),"Võ Minh Nam")</f>
        <v>Võ Minh Nam</v>
      </c>
      <c r="C17" s="15" t="str">
        <f ca="1">IFERROR(__xludf.DUMMYFUNCTION("""COMPUTED_VALUE"""),"s1-15046")</f>
        <v>s1-15046</v>
      </c>
      <c r="D17" s="15">
        <f ca="1">IFERROR(__xludf.DUMMYFUNCTION("""COMPUTED_VALUE"""),4)</f>
        <v>4</v>
      </c>
      <c r="E17" s="15" t="str">
        <f ca="1">IFERROR(__xludf.DUMMYFUNCTION("""COMPUTED_VALUE"""),"4A6")</f>
        <v>4A6</v>
      </c>
      <c r="F17" s="15" t="str">
        <f ca="1">IFERROR(__xludf.DUMMYFUNCTION("""COMPUTED_VALUE"""),"TH Thành Công A")</f>
        <v>TH Thành Công A</v>
      </c>
      <c r="G17" s="15">
        <f ca="1">IFERROR(__xludf.DUMMYFUNCTION("""COMPUTED_VALUE"""),3)</f>
        <v>3</v>
      </c>
      <c r="H17" s="15">
        <f ca="1">IFERROR(__xludf.DUMMYFUNCTION("""COMPUTED_VALUE"""),17)</f>
        <v>17</v>
      </c>
      <c r="I17" s="15">
        <f ca="1">IFERROR(__xludf.DUMMYFUNCTION("""COMPUTED_VALUE"""),85)</f>
        <v>85</v>
      </c>
      <c r="J17" s="15">
        <f ca="1">IFERROR(__xludf.DUMMYFUNCTION("""COMPUTED_VALUE"""),100)</f>
        <v>100</v>
      </c>
      <c r="K17" s="15" t="str">
        <f ca="1">IFERROR(__xludf.DUMMYFUNCTION("""COMPUTED_VALUE"""),"28/02/2021 20:38:58")</f>
        <v>28/02/2021 20:38:58</v>
      </c>
      <c r="L17" s="15">
        <f ca="1">IFERROR(__xludf.DUMMYFUNCTION("""COMPUTED_VALUE"""),2335)</f>
        <v>2335</v>
      </c>
      <c r="M17" s="16">
        <f ca="1">IFERROR(__xludf.DUMMYFUNCTION("""COMPUTED_VALUE"""),38.9166666666666)</f>
        <v>38.9166666666666</v>
      </c>
      <c r="N17" s="17" t="str">
        <f ca="1">IFERROR(__xludf.DUMMYFUNCTION("""COMPUTED_VALUE"""),"✓")</f>
        <v>✓</v>
      </c>
    </row>
    <row r="18" spans="1:14" ht="15.75">
      <c r="A18" s="15">
        <f ca="1">IFERROR(__xludf.DUMMYFUNCTION("""COMPUTED_VALUE"""),132)</f>
        <v>132</v>
      </c>
      <c r="B18" s="15" t="str">
        <f ca="1">IFERROR(__xludf.DUMMYFUNCTION("""COMPUTED_VALUE"""),"Nguyễn Mạnh Hùng")</f>
        <v>Nguyễn Mạnh Hùng</v>
      </c>
      <c r="C18" s="15" t="str">
        <f ca="1">IFERROR(__xludf.DUMMYFUNCTION("""COMPUTED_VALUE"""),"s1-15506")</f>
        <v>s1-15506</v>
      </c>
      <c r="D18" s="15">
        <f ca="1">IFERROR(__xludf.DUMMYFUNCTION("""COMPUTED_VALUE"""),4)</f>
        <v>4</v>
      </c>
      <c r="E18" s="15" t="str">
        <f ca="1">IFERROR(__xludf.DUMMYFUNCTION("""COMPUTED_VALUE"""),"4A1")</f>
        <v>4A1</v>
      </c>
      <c r="F18" s="15" t="str">
        <f ca="1">IFERROR(__xludf.DUMMYFUNCTION("""COMPUTED_VALUE"""),"TH Thành Công A")</f>
        <v>TH Thành Công A</v>
      </c>
      <c r="G18" s="15">
        <f ca="1">IFERROR(__xludf.DUMMYFUNCTION("""COMPUTED_VALUE"""),3)</f>
        <v>3</v>
      </c>
      <c r="H18" s="15">
        <f ca="1">IFERROR(__xludf.DUMMYFUNCTION("""COMPUTED_VALUE"""),17)</f>
        <v>17</v>
      </c>
      <c r="I18" s="15">
        <f ca="1">IFERROR(__xludf.DUMMYFUNCTION("""COMPUTED_VALUE"""),85)</f>
        <v>85</v>
      </c>
      <c r="J18" s="15">
        <f ca="1">IFERROR(__xludf.DUMMYFUNCTION("""COMPUTED_VALUE"""),100)</f>
        <v>100</v>
      </c>
      <c r="K18" s="15" t="str">
        <f ca="1">IFERROR(__xludf.DUMMYFUNCTION("""COMPUTED_VALUE"""),"28/02/2021 20:50:50")</f>
        <v>28/02/2021 20:50:50</v>
      </c>
      <c r="L18" s="15">
        <f ca="1">IFERROR(__xludf.DUMMYFUNCTION("""COMPUTED_VALUE"""),3040)</f>
        <v>3040</v>
      </c>
      <c r="M18" s="16">
        <f ca="1">IFERROR(__xludf.DUMMYFUNCTION("""COMPUTED_VALUE"""),50.6666666666666)</f>
        <v>50.6666666666666</v>
      </c>
      <c r="N18" s="17" t="str">
        <f ca="1">IFERROR(__xludf.DUMMYFUNCTION("""COMPUTED_VALUE"""),"✓")</f>
        <v>✓</v>
      </c>
    </row>
    <row r="19" spans="1:14" ht="15.75">
      <c r="A19" s="15">
        <f ca="1">IFERROR(__xludf.DUMMYFUNCTION("""COMPUTED_VALUE"""),137)</f>
        <v>137</v>
      </c>
      <c r="B19" s="15" t="str">
        <f ca="1">IFERROR(__xludf.DUMMYFUNCTION("""COMPUTED_VALUE"""),"Đỗ Khắc Minh Quân")</f>
        <v>Đỗ Khắc Minh Quân</v>
      </c>
      <c r="C19" s="15" t="str">
        <f ca="1">IFERROR(__xludf.DUMMYFUNCTION("""COMPUTED_VALUE"""),"s1-15490")</f>
        <v>s1-15490</v>
      </c>
      <c r="D19" s="15">
        <f ca="1">IFERROR(__xludf.DUMMYFUNCTION("""COMPUTED_VALUE"""),4)</f>
        <v>4</v>
      </c>
      <c r="E19" s="15" t="str">
        <f ca="1">IFERROR(__xludf.DUMMYFUNCTION("""COMPUTED_VALUE"""),"4A1")</f>
        <v>4A1</v>
      </c>
      <c r="F19" s="15" t="str">
        <f ca="1">IFERROR(__xludf.DUMMYFUNCTION("""COMPUTED_VALUE"""),"TH Thành Công A")</f>
        <v>TH Thành Công A</v>
      </c>
      <c r="G19" s="15">
        <f ca="1">IFERROR(__xludf.DUMMYFUNCTION("""COMPUTED_VALUE"""),4)</f>
        <v>4</v>
      </c>
      <c r="H19" s="15">
        <f ca="1">IFERROR(__xludf.DUMMYFUNCTION("""COMPUTED_VALUE"""),16)</f>
        <v>16</v>
      </c>
      <c r="I19" s="15">
        <f ca="1">IFERROR(__xludf.DUMMYFUNCTION("""COMPUTED_VALUE"""),80)</f>
        <v>80</v>
      </c>
      <c r="J19" s="15">
        <f ca="1">IFERROR(__xludf.DUMMYFUNCTION("""COMPUTED_VALUE"""),100)</f>
        <v>100</v>
      </c>
      <c r="K19" s="15" t="str">
        <f ca="1">IFERROR(__xludf.DUMMYFUNCTION("""COMPUTED_VALUE"""),"28/02/2021 20:26:29")</f>
        <v>28/02/2021 20:26:29</v>
      </c>
      <c r="L19" s="15">
        <f ca="1">IFERROR(__xludf.DUMMYFUNCTION("""COMPUTED_VALUE"""),962)</f>
        <v>962</v>
      </c>
      <c r="M19" s="16">
        <f ca="1">IFERROR(__xludf.DUMMYFUNCTION("""COMPUTED_VALUE"""),16.0333333333333)</f>
        <v>16.033333333333299</v>
      </c>
      <c r="N19" s="17" t="str">
        <f ca="1">IFERROR(__xludf.DUMMYFUNCTION("""COMPUTED_VALUE"""),"✓")</f>
        <v>✓</v>
      </c>
    </row>
    <row r="20" spans="1:14" ht="15.75">
      <c r="A20" s="15">
        <f ca="1">IFERROR(__xludf.DUMMYFUNCTION("""COMPUTED_VALUE"""),142)</f>
        <v>142</v>
      </c>
      <c r="B20" s="15" t="str">
        <f ca="1">IFERROR(__xludf.DUMMYFUNCTION("""COMPUTED_VALUE"""),"Nguyễn Đăng Hưng")</f>
        <v>Nguyễn Đăng Hưng</v>
      </c>
      <c r="C20" s="15" t="str">
        <f ca="1">IFERROR(__xludf.DUMMYFUNCTION("""COMPUTED_VALUE"""),"s1-15552")</f>
        <v>s1-15552</v>
      </c>
      <c r="D20" s="15">
        <f ca="1">IFERROR(__xludf.DUMMYFUNCTION("""COMPUTED_VALUE"""),5)</f>
        <v>5</v>
      </c>
      <c r="E20" s="15" t="str">
        <f ca="1">IFERROR(__xludf.DUMMYFUNCTION("""COMPUTED_VALUE"""),"5A5")</f>
        <v>5A5</v>
      </c>
      <c r="F20" s="15" t="str">
        <f ca="1">IFERROR(__xludf.DUMMYFUNCTION("""COMPUTED_VALUE"""),"TH Thành Công A")</f>
        <v>TH Thành Công A</v>
      </c>
      <c r="G20" s="15">
        <f ca="1">IFERROR(__xludf.DUMMYFUNCTION("""COMPUTED_VALUE"""),4)</f>
        <v>4</v>
      </c>
      <c r="H20" s="15">
        <f ca="1">IFERROR(__xludf.DUMMYFUNCTION("""COMPUTED_VALUE"""),16)</f>
        <v>16</v>
      </c>
      <c r="I20" s="15">
        <f ca="1">IFERROR(__xludf.DUMMYFUNCTION("""COMPUTED_VALUE"""),80)</f>
        <v>80</v>
      </c>
      <c r="J20" s="15">
        <f ca="1">IFERROR(__xludf.DUMMYFUNCTION("""COMPUTED_VALUE"""),100)</f>
        <v>100</v>
      </c>
      <c r="K20" s="15" t="str">
        <f ca="1">IFERROR(__xludf.DUMMYFUNCTION("""COMPUTED_VALUE"""),"28/02/2021 20:20:52")</f>
        <v>28/02/2021 20:20:52</v>
      </c>
      <c r="L20" s="15">
        <f ca="1">IFERROR(__xludf.DUMMYFUNCTION("""COMPUTED_VALUE"""),1247)</f>
        <v>1247</v>
      </c>
      <c r="M20" s="16">
        <f ca="1">IFERROR(__xludf.DUMMYFUNCTION("""COMPUTED_VALUE"""),20.7833333333333)</f>
        <v>20.783333333333299</v>
      </c>
      <c r="N20" s="17" t="str">
        <f ca="1">IFERROR(__xludf.DUMMYFUNCTION("""COMPUTED_VALUE"""),"✓")</f>
        <v>✓</v>
      </c>
    </row>
    <row r="21" spans="1:14" ht="15.75">
      <c r="A21" s="15">
        <f ca="1">IFERROR(__xludf.DUMMYFUNCTION("""COMPUTED_VALUE"""),149)</f>
        <v>149</v>
      </c>
      <c r="B21" s="15" t="str">
        <f ca="1">IFERROR(__xludf.DUMMYFUNCTION("""COMPUTED_VALUE"""),"Nguyễn Đức Khôi")</f>
        <v>Nguyễn Đức Khôi</v>
      </c>
      <c r="C21" s="15" t="str">
        <f ca="1">IFERROR(__xludf.DUMMYFUNCTION("""COMPUTED_VALUE"""),"s1-15510")</f>
        <v>s1-15510</v>
      </c>
      <c r="D21" s="15">
        <f ca="1">IFERROR(__xludf.DUMMYFUNCTION("""COMPUTED_VALUE"""),4)</f>
        <v>4</v>
      </c>
      <c r="E21" s="15" t="str">
        <f ca="1">IFERROR(__xludf.DUMMYFUNCTION("""COMPUTED_VALUE"""),"4A3")</f>
        <v>4A3</v>
      </c>
      <c r="F21" s="15" t="str">
        <f ca="1">IFERROR(__xludf.DUMMYFUNCTION("""COMPUTED_VALUE"""),"TH Thành Công A")</f>
        <v>TH Thành Công A</v>
      </c>
      <c r="G21" s="15">
        <f ca="1">IFERROR(__xludf.DUMMYFUNCTION("""COMPUTED_VALUE"""),4)</f>
        <v>4</v>
      </c>
      <c r="H21" s="15">
        <f ca="1">IFERROR(__xludf.DUMMYFUNCTION("""COMPUTED_VALUE"""),16)</f>
        <v>16</v>
      </c>
      <c r="I21" s="15">
        <f ca="1">IFERROR(__xludf.DUMMYFUNCTION("""COMPUTED_VALUE"""),80)</f>
        <v>80</v>
      </c>
      <c r="J21" s="15">
        <f ca="1">IFERROR(__xludf.DUMMYFUNCTION("""COMPUTED_VALUE"""),100)</f>
        <v>100</v>
      </c>
      <c r="K21" s="15" t="str">
        <f ca="1">IFERROR(__xludf.DUMMYFUNCTION("""COMPUTED_VALUE"""),"28/02/2021 20:23:30")</f>
        <v>28/02/2021 20:23:30</v>
      </c>
      <c r="L21" s="15">
        <f ca="1">IFERROR(__xludf.DUMMYFUNCTION("""COMPUTED_VALUE"""),1407)</f>
        <v>1407</v>
      </c>
      <c r="M21" s="16">
        <f ca="1">IFERROR(__xludf.DUMMYFUNCTION("""COMPUTED_VALUE"""),23.45)</f>
        <v>23.45</v>
      </c>
      <c r="N21" s="17" t="str">
        <f ca="1">IFERROR(__xludf.DUMMYFUNCTION("""COMPUTED_VALUE"""),"✓")</f>
        <v>✓</v>
      </c>
    </row>
    <row r="22" spans="1:14" ht="15.75">
      <c r="A22" s="15">
        <f ca="1">IFERROR(__xludf.DUMMYFUNCTION("""COMPUTED_VALUE"""),156)</f>
        <v>156</v>
      </c>
      <c r="B22" s="15" t="str">
        <f ca="1">IFERROR(__xludf.DUMMYFUNCTION("""COMPUTED_VALUE"""),"Nguyễn Gia Bách")</f>
        <v>Nguyễn Gia Bách</v>
      </c>
      <c r="C22" s="15" t="str">
        <f ca="1">IFERROR(__xludf.DUMMYFUNCTION("""COMPUTED_VALUE"""),"s1-15486")</f>
        <v>s1-15486</v>
      </c>
      <c r="D22" s="15">
        <f ca="1">IFERROR(__xludf.DUMMYFUNCTION("""COMPUTED_VALUE"""),4)</f>
        <v>4</v>
      </c>
      <c r="E22" s="15" t="str">
        <f ca="1">IFERROR(__xludf.DUMMYFUNCTION("""COMPUTED_VALUE"""),"4A1")</f>
        <v>4A1</v>
      </c>
      <c r="F22" s="15" t="str">
        <f ca="1">IFERROR(__xludf.DUMMYFUNCTION("""COMPUTED_VALUE"""),"TH Thành Công A")</f>
        <v>TH Thành Công A</v>
      </c>
      <c r="G22" s="15">
        <f ca="1">IFERROR(__xludf.DUMMYFUNCTION("""COMPUTED_VALUE"""),4)</f>
        <v>4</v>
      </c>
      <c r="H22" s="15">
        <f ca="1">IFERROR(__xludf.DUMMYFUNCTION("""COMPUTED_VALUE"""),16)</f>
        <v>16</v>
      </c>
      <c r="I22" s="15">
        <f ca="1">IFERROR(__xludf.DUMMYFUNCTION("""COMPUTED_VALUE"""),80)</f>
        <v>80</v>
      </c>
      <c r="J22" s="15">
        <f ca="1">IFERROR(__xludf.DUMMYFUNCTION("""COMPUTED_VALUE"""),100)</f>
        <v>100</v>
      </c>
      <c r="K22" s="15" t="str">
        <f ca="1">IFERROR(__xludf.DUMMYFUNCTION("""COMPUTED_VALUE"""),"28/02/2021 20:43:02")</f>
        <v>28/02/2021 20:43:02</v>
      </c>
      <c r="L22" s="15">
        <f ca="1">IFERROR(__xludf.DUMMYFUNCTION("""COMPUTED_VALUE"""),1701)</f>
        <v>1701</v>
      </c>
      <c r="M22" s="16">
        <f ca="1">IFERROR(__xludf.DUMMYFUNCTION("""COMPUTED_VALUE"""),28.35)</f>
        <v>28.35</v>
      </c>
      <c r="N22" s="17" t="str">
        <f ca="1">IFERROR(__xludf.DUMMYFUNCTION("""COMPUTED_VALUE"""),"✓")</f>
        <v>✓</v>
      </c>
    </row>
    <row r="23" spans="1:14" ht="15.75">
      <c r="A23" s="15">
        <f ca="1">IFERROR(__xludf.DUMMYFUNCTION("""COMPUTED_VALUE"""),165)</f>
        <v>165</v>
      </c>
      <c r="B23" s="15" t="str">
        <f ca="1">IFERROR(__xludf.DUMMYFUNCTION("""COMPUTED_VALUE"""),"Cao Thế Khanh")</f>
        <v>Cao Thế Khanh</v>
      </c>
      <c r="C23" s="15" t="str">
        <f ca="1">IFERROR(__xludf.DUMMYFUNCTION("""COMPUTED_VALUE"""),"s1-15541")</f>
        <v>s1-15541</v>
      </c>
      <c r="D23" s="15">
        <f ca="1">IFERROR(__xludf.DUMMYFUNCTION("""COMPUTED_VALUE"""),5)</f>
        <v>5</v>
      </c>
      <c r="E23" s="15" t="str">
        <f ca="1">IFERROR(__xludf.DUMMYFUNCTION("""COMPUTED_VALUE"""),"5A1")</f>
        <v>5A1</v>
      </c>
      <c r="F23" s="15" t="str">
        <f ca="1">IFERROR(__xludf.DUMMYFUNCTION("""COMPUTED_VALUE"""),"TH Thành Công A")</f>
        <v>TH Thành Công A</v>
      </c>
      <c r="G23" s="15">
        <f ca="1">IFERROR(__xludf.DUMMYFUNCTION("""COMPUTED_VALUE"""),4)</f>
        <v>4</v>
      </c>
      <c r="H23" s="15">
        <f ca="1">IFERROR(__xludf.DUMMYFUNCTION("""COMPUTED_VALUE"""),16)</f>
        <v>16</v>
      </c>
      <c r="I23" s="15">
        <f ca="1">IFERROR(__xludf.DUMMYFUNCTION("""COMPUTED_VALUE"""),80)</f>
        <v>80</v>
      </c>
      <c r="J23" s="15">
        <f ca="1">IFERROR(__xludf.DUMMYFUNCTION("""COMPUTED_VALUE"""),100)</f>
        <v>100</v>
      </c>
      <c r="K23" s="15" t="str">
        <f ca="1">IFERROR(__xludf.DUMMYFUNCTION("""COMPUTED_VALUE"""),"28/02/2021 20:30:52")</f>
        <v>28/02/2021 20:30:52</v>
      </c>
      <c r="L23" s="15">
        <f ca="1">IFERROR(__xludf.DUMMYFUNCTION("""COMPUTED_VALUE"""),1848)</f>
        <v>1848</v>
      </c>
      <c r="M23" s="16">
        <f ca="1">IFERROR(__xludf.DUMMYFUNCTION("""COMPUTED_VALUE"""),30.8)</f>
        <v>30.8</v>
      </c>
      <c r="N23" s="17" t="str">
        <f ca="1">IFERROR(__xludf.DUMMYFUNCTION("""COMPUTED_VALUE"""),"✓")</f>
        <v>✓</v>
      </c>
    </row>
    <row r="24" spans="1:14" ht="15.75">
      <c r="A24" s="15">
        <f ca="1">IFERROR(__xludf.DUMMYFUNCTION("""COMPUTED_VALUE"""),171)</f>
        <v>171</v>
      </c>
      <c r="B24" s="15" t="str">
        <f ca="1">IFERROR(__xludf.DUMMYFUNCTION("""COMPUTED_VALUE"""),"Lê Tuấn Minh")</f>
        <v>Lê Tuấn Minh</v>
      </c>
      <c r="C24" s="15" t="str">
        <f ca="1">IFERROR(__xludf.DUMMYFUNCTION("""COMPUTED_VALUE"""),"s1-15549")</f>
        <v>s1-15549</v>
      </c>
      <c r="D24" s="15">
        <f ca="1">IFERROR(__xludf.DUMMYFUNCTION("""COMPUTED_VALUE"""),5)</f>
        <v>5</v>
      </c>
      <c r="E24" s="15" t="str">
        <f ca="1">IFERROR(__xludf.DUMMYFUNCTION("""COMPUTED_VALUE"""),"5A5")</f>
        <v>5A5</v>
      </c>
      <c r="F24" s="15" t="str">
        <f ca="1">IFERROR(__xludf.DUMMYFUNCTION("""COMPUTED_VALUE"""),"TH Thành Công A")</f>
        <v>TH Thành Công A</v>
      </c>
      <c r="G24" s="15">
        <f ca="1">IFERROR(__xludf.DUMMYFUNCTION("""COMPUTED_VALUE"""),4)</f>
        <v>4</v>
      </c>
      <c r="H24" s="15">
        <f ca="1">IFERROR(__xludf.DUMMYFUNCTION("""COMPUTED_VALUE"""),16)</f>
        <v>16</v>
      </c>
      <c r="I24" s="15">
        <f ca="1">IFERROR(__xludf.DUMMYFUNCTION("""COMPUTED_VALUE"""),80)</f>
        <v>80</v>
      </c>
      <c r="J24" s="15">
        <f ca="1">IFERROR(__xludf.DUMMYFUNCTION("""COMPUTED_VALUE"""),100)</f>
        <v>100</v>
      </c>
      <c r="K24" s="15" t="str">
        <f ca="1">IFERROR(__xludf.DUMMYFUNCTION("""COMPUTED_VALUE"""),"28/02/2021 20:35:45")</f>
        <v>28/02/2021 20:35:45</v>
      </c>
      <c r="L24" s="15">
        <f ca="1">IFERROR(__xludf.DUMMYFUNCTION("""COMPUTED_VALUE"""),2139)</f>
        <v>2139</v>
      </c>
      <c r="M24" s="16">
        <f ca="1">IFERROR(__xludf.DUMMYFUNCTION("""COMPUTED_VALUE"""),35.65)</f>
        <v>35.65</v>
      </c>
      <c r="N24" s="17" t="str">
        <f ca="1">IFERROR(__xludf.DUMMYFUNCTION("""COMPUTED_VALUE"""),"✓")</f>
        <v>✓</v>
      </c>
    </row>
    <row r="25" spans="1:14" ht="15.75">
      <c r="A25" s="15">
        <f ca="1">IFERROR(__xludf.DUMMYFUNCTION("""COMPUTED_VALUE"""),174)</f>
        <v>174</v>
      </c>
      <c r="B25" s="15" t="str">
        <f ca="1">IFERROR(__xludf.DUMMYFUNCTION("""COMPUTED_VALUE"""),"Nguyễn Thanh Viêt Hà")</f>
        <v>Nguyễn Thanh Viêt Hà</v>
      </c>
      <c r="C25" s="15" t="str">
        <f ca="1">IFERROR(__xludf.DUMMYFUNCTION("""COMPUTED_VALUE"""),"s1-15491")</f>
        <v>s1-15491</v>
      </c>
      <c r="D25" s="15">
        <f ca="1">IFERROR(__xludf.DUMMYFUNCTION("""COMPUTED_VALUE"""),4)</f>
        <v>4</v>
      </c>
      <c r="E25" s="15" t="str">
        <f ca="1">IFERROR(__xludf.DUMMYFUNCTION("""COMPUTED_VALUE"""),"4A1")</f>
        <v>4A1</v>
      </c>
      <c r="F25" s="15" t="str">
        <f ca="1">IFERROR(__xludf.DUMMYFUNCTION("""COMPUTED_VALUE"""),"TH Thành Công A")</f>
        <v>TH Thành Công A</v>
      </c>
      <c r="G25" s="15">
        <f ca="1">IFERROR(__xludf.DUMMYFUNCTION("""COMPUTED_VALUE"""),4)</f>
        <v>4</v>
      </c>
      <c r="H25" s="15">
        <f ca="1">IFERROR(__xludf.DUMMYFUNCTION("""COMPUTED_VALUE"""),16)</f>
        <v>16</v>
      </c>
      <c r="I25" s="15">
        <f ca="1">IFERROR(__xludf.DUMMYFUNCTION("""COMPUTED_VALUE"""),80)</f>
        <v>80</v>
      </c>
      <c r="J25" s="15">
        <f ca="1">IFERROR(__xludf.DUMMYFUNCTION("""COMPUTED_VALUE"""),100)</f>
        <v>100</v>
      </c>
      <c r="K25" s="15" t="str">
        <f ca="1">IFERROR(__xludf.DUMMYFUNCTION("""COMPUTED_VALUE"""),"28/02/2021 20:37:10")</f>
        <v>28/02/2021 20:37:10</v>
      </c>
      <c r="L25" s="15">
        <f ca="1">IFERROR(__xludf.DUMMYFUNCTION("""COMPUTED_VALUE"""),2219)</f>
        <v>2219</v>
      </c>
      <c r="M25" s="16">
        <f ca="1">IFERROR(__xludf.DUMMYFUNCTION("""COMPUTED_VALUE"""),36.9833333333333)</f>
        <v>36.983333333333299</v>
      </c>
      <c r="N25" s="17" t="str">
        <f ca="1">IFERROR(__xludf.DUMMYFUNCTION("""COMPUTED_VALUE"""),"✓")</f>
        <v>✓</v>
      </c>
    </row>
    <row r="26" spans="1:14" ht="15.75" customHeight="1">
      <c r="A26" s="15">
        <f ca="1">IFERROR(__xludf.DUMMYFUNCTION("""COMPUTED_VALUE"""),212)</f>
        <v>212</v>
      </c>
      <c r="B26" s="15" t="str">
        <f ca="1">IFERROR(__xludf.DUMMYFUNCTION("""COMPUTED_VALUE"""),"Phạm Dương Quang")</f>
        <v>Phạm Dương Quang</v>
      </c>
      <c r="C26" s="15" t="str">
        <f ca="1">IFERROR(__xludf.DUMMYFUNCTION("""COMPUTED_VALUE"""),"s1-16615")</f>
        <v>s1-16615</v>
      </c>
      <c r="D26" s="15">
        <f ca="1">IFERROR(__xludf.DUMMYFUNCTION("""COMPUTED_VALUE"""),4)</f>
        <v>4</v>
      </c>
      <c r="E26" s="15" t="str">
        <f ca="1">IFERROR(__xludf.DUMMYFUNCTION("""COMPUTED_VALUE"""),"4A2")</f>
        <v>4A2</v>
      </c>
      <c r="F26" s="15" t="str">
        <f ca="1">IFERROR(__xludf.DUMMYFUNCTION("""COMPUTED_VALUE"""),"TH Thành Công A")</f>
        <v>TH Thành Công A</v>
      </c>
      <c r="G26" s="15">
        <f ca="1">IFERROR(__xludf.DUMMYFUNCTION("""COMPUTED_VALUE"""),5)</f>
        <v>5</v>
      </c>
      <c r="H26" s="15">
        <f ca="1">IFERROR(__xludf.DUMMYFUNCTION("""COMPUTED_VALUE"""),15)</f>
        <v>15</v>
      </c>
      <c r="I26" s="15">
        <f ca="1">IFERROR(__xludf.DUMMYFUNCTION("""COMPUTED_VALUE"""),75)</f>
        <v>75</v>
      </c>
      <c r="J26" s="15">
        <f ca="1">IFERROR(__xludf.DUMMYFUNCTION("""COMPUTED_VALUE"""),100)</f>
        <v>100</v>
      </c>
      <c r="K26" s="15" t="str">
        <f ca="1">IFERROR(__xludf.DUMMYFUNCTION("""COMPUTED_VALUE"""),"28/02/2021 20:27:28")</f>
        <v>28/02/2021 20:27:28</v>
      </c>
      <c r="L26" s="15">
        <f ca="1">IFERROR(__xludf.DUMMYFUNCTION("""COMPUTED_VALUE"""),1645)</f>
        <v>1645</v>
      </c>
      <c r="M26" s="16">
        <f ca="1">IFERROR(__xludf.DUMMYFUNCTION("""COMPUTED_VALUE"""),27.4166666666666)</f>
        <v>27.4166666666666</v>
      </c>
      <c r="N26" s="17" t="str">
        <f ca="1">IFERROR(__xludf.DUMMYFUNCTION("""COMPUTED_VALUE"""),"✓")</f>
        <v>✓</v>
      </c>
    </row>
    <row r="27" spans="1:14" ht="15.75" customHeight="1">
      <c r="A27" s="15">
        <f ca="1">IFERROR(__xludf.DUMMYFUNCTION("""COMPUTED_VALUE"""),226)</f>
        <v>226</v>
      </c>
      <c r="B27" s="15" t="str">
        <f ca="1">IFERROR(__xludf.DUMMYFUNCTION("""COMPUTED_VALUE"""),"Nguyễn Lê Đình Khánh")</f>
        <v>Nguyễn Lê Đình Khánh</v>
      </c>
      <c r="C27" s="15" t="str">
        <f ca="1">IFERROR(__xludf.DUMMYFUNCTION("""COMPUTED_VALUE"""),"s1-15555")</f>
        <v>s1-15555</v>
      </c>
      <c r="D27" s="15">
        <f ca="1">IFERROR(__xludf.DUMMYFUNCTION("""COMPUTED_VALUE"""),5)</f>
        <v>5</v>
      </c>
      <c r="E27" s="15" t="str">
        <f ca="1">IFERROR(__xludf.DUMMYFUNCTION("""COMPUTED_VALUE"""),"5A5")</f>
        <v>5A5</v>
      </c>
      <c r="F27" s="15" t="str">
        <f ca="1">IFERROR(__xludf.DUMMYFUNCTION("""COMPUTED_VALUE"""),"TH Thành Công A")</f>
        <v>TH Thành Công A</v>
      </c>
      <c r="G27" s="15">
        <f ca="1">IFERROR(__xludf.DUMMYFUNCTION("""COMPUTED_VALUE"""),5)</f>
        <v>5</v>
      </c>
      <c r="H27" s="15">
        <f ca="1">IFERROR(__xludf.DUMMYFUNCTION("""COMPUTED_VALUE"""),15)</f>
        <v>15</v>
      </c>
      <c r="I27" s="15">
        <f ca="1">IFERROR(__xludf.DUMMYFUNCTION("""COMPUTED_VALUE"""),75)</f>
        <v>75</v>
      </c>
      <c r="J27" s="15">
        <f ca="1">IFERROR(__xludf.DUMMYFUNCTION("""COMPUTED_VALUE"""),100)</f>
        <v>100</v>
      </c>
      <c r="K27" s="15" t="str">
        <f ca="1">IFERROR(__xludf.DUMMYFUNCTION("""COMPUTED_VALUE"""),"28/02/2021 20:37:19")</f>
        <v>28/02/2021 20:37:19</v>
      </c>
      <c r="L27" s="15">
        <f ca="1">IFERROR(__xludf.DUMMYFUNCTION("""COMPUTED_VALUE"""),2224)</f>
        <v>2224</v>
      </c>
      <c r="M27" s="16">
        <f ca="1">IFERROR(__xludf.DUMMYFUNCTION("""COMPUTED_VALUE"""),37.0666666666666)</f>
        <v>37.066666666666599</v>
      </c>
      <c r="N27" s="17" t="str">
        <f ca="1">IFERROR(__xludf.DUMMYFUNCTION("""COMPUTED_VALUE"""),"✓")</f>
        <v>✓</v>
      </c>
    </row>
    <row r="28" spans="1:14" ht="15.75" customHeight="1">
      <c r="A28" s="15">
        <f ca="1">IFERROR(__xludf.DUMMYFUNCTION("""COMPUTED_VALUE"""),253)</f>
        <v>253</v>
      </c>
      <c r="B28" s="15" t="str">
        <f ca="1">IFERROR(__xludf.DUMMYFUNCTION("""COMPUTED_VALUE"""),"Nguyễn Minh Tuệ")</f>
        <v>Nguyễn Minh Tuệ</v>
      </c>
      <c r="C28" s="15" t="str">
        <f ca="1">IFERROR(__xludf.DUMMYFUNCTION("""COMPUTED_VALUE"""),"s1-15509")</f>
        <v>s1-15509</v>
      </c>
      <c r="D28" s="15">
        <f ca="1">IFERROR(__xludf.DUMMYFUNCTION("""COMPUTED_VALUE"""),4)</f>
        <v>4</v>
      </c>
      <c r="E28" s="15" t="str">
        <f ca="1">IFERROR(__xludf.DUMMYFUNCTION("""COMPUTED_VALUE"""),"4A3")</f>
        <v>4A3</v>
      </c>
      <c r="F28" s="15" t="str">
        <f ca="1">IFERROR(__xludf.DUMMYFUNCTION("""COMPUTED_VALUE"""),"TH Thành Công A")</f>
        <v>TH Thành Công A</v>
      </c>
      <c r="G28" s="15">
        <f ca="1">IFERROR(__xludf.DUMMYFUNCTION("""COMPUTED_VALUE"""),6)</f>
        <v>6</v>
      </c>
      <c r="H28" s="15">
        <f ca="1">IFERROR(__xludf.DUMMYFUNCTION("""COMPUTED_VALUE"""),14)</f>
        <v>14</v>
      </c>
      <c r="I28" s="15">
        <f ca="1">IFERROR(__xludf.DUMMYFUNCTION("""COMPUTED_VALUE"""),70)</f>
        <v>70</v>
      </c>
      <c r="J28" s="15">
        <f ca="1">IFERROR(__xludf.DUMMYFUNCTION("""COMPUTED_VALUE"""),100)</f>
        <v>100</v>
      </c>
      <c r="K28" s="15" t="str">
        <f ca="1">IFERROR(__xludf.DUMMYFUNCTION("""COMPUTED_VALUE"""),"28/02/2021 20:16:57")</f>
        <v>28/02/2021 20:16:57</v>
      </c>
      <c r="L28" s="15">
        <f ca="1">IFERROR(__xludf.DUMMYFUNCTION("""COMPUTED_VALUE"""),1011)</f>
        <v>1011</v>
      </c>
      <c r="M28" s="16">
        <f ca="1">IFERROR(__xludf.DUMMYFUNCTION("""COMPUTED_VALUE"""),16.85)</f>
        <v>16.850000000000001</v>
      </c>
      <c r="N28" s="17" t="str">
        <f ca="1">IFERROR(__xludf.DUMMYFUNCTION("""COMPUTED_VALUE"""),"✓")</f>
        <v>✓</v>
      </c>
    </row>
    <row r="29" spans="1:14" ht="15.75" customHeight="1">
      <c r="A29" s="15">
        <f ca="1">IFERROR(__xludf.DUMMYFUNCTION("""COMPUTED_VALUE"""),291)</f>
        <v>291</v>
      </c>
      <c r="B29" s="15" t="str">
        <f ca="1">IFERROR(__xludf.DUMMYFUNCTION("""COMPUTED_VALUE"""),"Hồ Đức Nhật Quang")</f>
        <v>Hồ Đức Nhật Quang</v>
      </c>
      <c r="C29" s="15" t="str">
        <f ca="1">IFERROR(__xludf.DUMMYFUNCTION("""COMPUTED_VALUE"""),"s1-15548")</f>
        <v>s1-15548</v>
      </c>
      <c r="D29" s="15">
        <f ca="1">IFERROR(__xludf.DUMMYFUNCTION("""COMPUTED_VALUE"""),5)</f>
        <v>5</v>
      </c>
      <c r="E29" s="15" t="str">
        <f ca="1">IFERROR(__xludf.DUMMYFUNCTION("""COMPUTED_VALUE"""),"5A5")</f>
        <v>5A5</v>
      </c>
      <c r="F29" s="15" t="str">
        <f ca="1">IFERROR(__xludf.DUMMYFUNCTION("""COMPUTED_VALUE"""),"TH Thành Công A")</f>
        <v>TH Thành Công A</v>
      </c>
      <c r="G29" s="15">
        <f ca="1">IFERROR(__xludf.DUMMYFUNCTION("""COMPUTED_VALUE"""),6)</f>
        <v>6</v>
      </c>
      <c r="H29" s="15">
        <f ca="1">IFERROR(__xludf.DUMMYFUNCTION("""COMPUTED_VALUE"""),14)</f>
        <v>14</v>
      </c>
      <c r="I29" s="15">
        <f ca="1">IFERROR(__xludf.DUMMYFUNCTION("""COMPUTED_VALUE"""),70)</f>
        <v>70</v>
      </c>
      <c r="J29" s="15">
        <f ca="1">IFERROR(__xludf.DUMMYFUNCTION("""COMPUTED_VALUE"""),100)</f>
        <v>100</v>
      </c>
      <c r="K29" s="15" t="str">
        <f ca="1">IFERROR(__xludf.DUMMYFUNCTION("""COMPUTED_VALUE"""),"28/02/2021 20:32:37")</f>
        <v>28/02/2021 20:32:37</v>
      </c>
      <c r="L29" s="15">
        <f ca="1">IFERROR(__xludf.DUMMYFUNCTION("""COMPUTED_VALUE"""),1954)</f>
        <v>1954</v>
      </c>
      <c r="M29" s="16">
        <f ca="1">IFERROR(__xludf.DUMMYFUNCTION("""COMPUTED_VALUE"""),32.5666666666666)</f>
        <v>32.566666666666599</v>
      </c>
      <c r="N29" s="17" t="str">
        <f ca="1">IFERROR(__xludf.DUMMYFUNCTION("""COMPUTED_VALUE"""),"✓")</f>
        <v>✓</v>
      </c>
    </row>
    <row r="30" spans="1:14" ht="15.75" customHeight="1">
      <c r="A30" s="15">
        <f ca="1">IFERROR(__xludf.DUMMYFUNCTION("""COMPUTED_VALUE"""),293)</f>
        <v>293</v>
      </c>
      <c r="B30" s="15" t="str">
        <f ca="1">IFERROR(__xludf.DUMMYFUNCTION("""COMPUTED_VALUE"""),"Vũ Lê Hà Anh")</f>
        <v>Vũ Lê Hà Anh</v>
      </c>
      <c r="C30" s="15" t="str">
        <f ca="1">IFERROR(__xludf.DUMMYFUNCTION("""COMPUTED_VALUE"""),"thangvm09@gmail.com")</f>
        <v>thangvm09@gmail.com</v>
      </c>
      <c r="D30" s="15">
        <f ca="1">IFERROR(__xludf.DUMMYFUNCTION("""COMPUTED_VALUE"""),4)</f>
        <v>4</v>
      </c>
      <c r="E30" s="15" t="str">
        <f ca="1">IFERROR(__xludf.DUMMYFUNCTION("""COMPUTED_VALUE"""),"4A6")</f>
        <v>4A6</v>
      </c>
      <c r="F30" s="15" t="str">
        <f ca="1">IFERROR(__xludf.DUMMYFUNCTION("""COMPUTED_VALUE"""),"TH Thành Công A")</f>
        <v>TH Thành Công A</v>
      </c>
      <c r="G30" s="15">
        <f ca="1">IFERROR(__xludf.DUMMYFUNCTION("""COMPUTED_VALUE"""),6)</f>
        <v>6</v>
      </c>
      <c r="H30" s="15">
        <f ca="1">IFERROR(__xludf.DUMMYFUNCTION("""COMPUTED_VALUE"""),14)</f>
        <v>14</v>
      </c>
      <c r="I30" s="15">
        <f ca="1">IFERROR(__xludf.DUMMYFUNCTION("""COMPUTED_VALUE"""),70)</f>
        <v>70</v>
      </c>
      <c r="J30" s="15">
        <f ca="1">IFERROR(__xludf.DUMMYFUNCTION("""COMPUTED_VALUE"""),100)</f>
        <v>100</v>
      </c>
      <c r="K30" s="15" t="str">
        <f ca="1">IFERROR(__xludf.DUMMYFUNCTION("""COMPUTED_VALUE"""),"28/02/2021 20:36:35")</f>
        <v>28/02/2021 20:36:35</v>
      </c>
      <c r="L30" s="15">
        <f ca="1">IFERROR(__xludf.DUMMYFUNCTION("""COMPUTED_VALUE"""),2012)</f>
        <v>2012</v>
      </c>
      <c r="M30" s="16">
        <f ca="1">IFERROR(__xludf.DUMMYFUNCTION("""COMPUTED_VALUE"""),33.5333333333333)</f>
        <v>33.533333333333303</v>
      </c>
      <c r="N30" s="17" t="str">
        <f ca="1">IFERROR(__xludf.DUMMYFUNCTION("""COMPUTED_VALUE"""),"✓")</f>
        <v>✓</v>
      </c>
    </row>
    <row r="31" spans="1:14" ht="15.75" customHeight="1">
      <c r="A31" s="15">
        <f ca="1">IFERROR(__xludf.DUMMYFUNCTION("""COMPUTED_VALUE"""),300)</f>
        <v>300</v>
      </c>
      <c r="B31" s="15" t="str">
        <f ca="1">IFERROR(__xludf.DUMMYFUNCTION("""COMPUTED_VALUE"""),"Đỗ Hoàng Ngân")</f>
        <v>Đỗ Hoàng Ngân</v>
      </c>
      <c r="C31" s="15" t="str">
        <f ca="1">IFERROR(__xludf.DUMMYFUNCTION("""COMPUTED_VALUE"""),"s1-15536")</f>
        <v>s1-15536</v>
      </c>
      <c r="D31" s="15">
        <f ca="1">IFERROR(__xludf.DUMMYFUNCTION("""COMPUTED_VALUE"""),4)</f>
        <v>4</v>
      </c>
      <c r="E31" s="15" t="str">
        <f ca="1">IFERROR(__xludf.DUMMYFUNCTION("""COMPUTED_VALUE"""),"4A6")</f>
        <v>4A6</v>
      </c>
      <c r="F31" s="15" t="str">
        <f ca="1">IFERROR(__xludf.DUMMYFUNCTION("""COMPUTED_VALUE"""),"TH Thành Công A")</f>
        <v>TH Thành Công A</v>
      </c>
      <c r="G31" s="15">
        <f ca="1">IFERROR(__xludf.DUMMYFUNCTION("""COMPUTED_VALUE"""),6)</f>
        <v>6</v>
      </c>
      <c r="H31" s="15">
        <f ca="1">IFERROR(__xludf.DUMMYFUNCTION("""COMPUTED_VALUE"""),14)</f>
        <v>14</v>
      </c>
      <c r="I31" s="15">
        <f ca="1">IFERROR(__xludf.DUMMYFUNCTION("""COMPUTED_VALUE"""),70)</f>
        <v>70</v>
      </c>
      <c r="J31" s="15">
        <f ca="1">IFERROR(__xludf.DUMMYFUNCTION("""COMPUTED_VALUE"""),100)</f>
        <v>100</v>
      </c>
      <c r="K31" s="15" t="str">
        <f ca="1">IFERROR(__xludf.DUMMYFUNCTION("""COMPUTED_VALUE"""),"28/02/2021 20:45:03")</f>
        <v>28/02/2021 20:45:03</v>
      </c>
      <c r="L31" s="15">
        <f ca="1">IFERROR(__xludf.DUMMYFUNCTION("""COMPUTED_VALUE"""),2587)</f>
        <v>2587</v>
      </c>
      <c r="M31" s="16">
        <f ca="1">IFERROR(__xludf.DUMMYFUNCTION("""COMPUTED_VALUE"""),43.1166666666666)</f>
        <v>43.116666666666603</v>
      </c>
      <c r="N31" s="17" t="str">
        <f ca="1">IFERROR(__xludf.DUMMYFUNCTION("""COMPUTED_VALUE"""),"✓")</f>
        <v>✓</v>
      </c>
    </row>
    <row r="32" spans="1:14" ht="15.75" customHeight="1">
      <c r="A32" s="15">
        <f ca="1">IFERROR(__xludf.DUMMYFUNCTION("""COMPUTED_VALUE"""),302)</f>
        <v>302</v>
      </c>
      <c r="B32" s="15" t="str">
        <f ca="1">IFERROR(__xludf.DUMMYFUNCTION("""COMPUTED_VALUE"""),"Vũ Gia Phú")</f>
        <v>Vũ Gia Phú</v>
      </c>
      <c r="C32" s="15" t="str">
        <f ca="1">IFERROR(__xludf.DUMMYFUNCTION("""COMPUTED_VALUE"""),"s1-15504")</f>
        <v>s1-15504</v>
      </c>
      <c r="D32" s="15">
        <f ca="1">IFERROR(__xludf.DUMMYFUNCTION("""COMPUTED_VALUE"""),4)</f>
        <v>4</v>
      </c>
      <c r="E32" s="15" t="str">
        <f ca="1">IFERROR(__xludf.DUMMYFUNCTION("""COMPUTED_VALUE"""),"4A1")</f>
        <v>4A1</v>
      </c>
      <c r="F32" s="15" t="str">
        <f ca="1">IFERROR(__xludf.DUMMYFUNCTION("""COMPUTED_VALUE"""),"TH Thành Công A")</f>
        <v>TH Thành Công A</v>
      </c>
      <c r="G32" s="15">
        <f ca="1">IFERROR(__xludf.DUMMYFUNCTION("""COMPUTED_VALUE"""),6)</f>
        <v>6</v>
      </c>
      <c r="H32" s="15">
        <f ca="1">IFERROR(__xludf.DUMMYFUNCTION("""COMPUTED_VALUE"""),14)</f>
        <v>14</v>
      </c>
      <c r="I32" s="15">
        <f ca="1">IFERROR(__xludf.DUMMYFUNCTION("""COMPUTED_VALUE"""),70)</f>
        <v>70</v>
      </c>
      <c r="J32" s="15">
        <f ca="1">IFERROR(__xludf.DUMMYFUNCTION("""COMPUTED_VALUE"""),100)</f>
        <v>100</v>
      </c>
      <c r="K32" s="15" t="str">
        <f ca="1">IFERROR(__xludf.DUMMYFUNCTION("""COMPUTED_VALUE"""),"28/02/2021 21:27:03")</f>
        <v>28/02/2021 21:27:03</v>
      </c>
      <c r="L32" s="15">
        <f ca="1">IFERROR(__xludf.DUMMYFUNCTION("""COMPUTED_VALUE"""),2799)</f>
        <v>2799</v>
      </c>
      <c r="M32" s="16">
        <f ca="1">IFERROR(__xludf.DUMMYFUNCTION("""COMPUTED_VALUE"""),46.65)</f>
        <v>46.65</v>
      </c>
      <c r="N32" s="17" t="str">
        <f ca="1">IFERROR(__xludf.DUMMYFUNCTION("""COMPUTED_VALUE"""),"✓")</f>
        <v>✓</v>
      </c>
    </row>
    <row r="33" spans="1:14" ht="15.75" customHeight="1">
      <c r="A33" s="15">
        <f ca="1">IFERROR(__xludf.DUMMYFUNCTION("""COMPUTED_VALUE"""),314)</f>
        <v>314</v>
      </c>
      <c r="B33" s="15" t="str">
        <f ca="1">IFERROR(__xludf.DUMMYFUNCTION("""COMPUTED_VALUE"""),"Đỗ Ngọc Minh Phương")</f>
        <v>Đỗ Ngọc Minh Phương</v>
      </c>
      <c r="C33" s="15" t="str">
        <f ca="1">IFERROR(__xludf.DUMMYFUNCTION("""COMPUTED_VALUE"""),"s1-15558")</f>
        <v>s1-15558</v>
      </c>
      <c r="D33" s="15">
        <f ca="1">IFERROR(__xludf.DUMMYFUNCTION("""COMPUTED_VALUE"""),5)</f>
        <v>5</v>
      </c>
      <c r="E33" s="15" t="str">
        <f ca="1">IFERROR(__xludf.DUMMYFUNCTION("""COMPUTED_VALUE"""),"5A5")</f>
        <v>5A5</v>
      </c>
      <c r="F33" s="15" t="str">
        <f ca="1">IFERROR(__xludf.DUMMYFUNCTION("""COMPUTED_VALUE"""),"TH Thành Công A")</f>
        <v>TH Thành Công A</v>
      </c>
      <c r="G33" s="15">
        <f ca="1">IFERROR(__xludf.DUMMYFUNCTION("""COMPUTED_VALUE"""),7)</f>
        <v>7</v>
      </c>
      <c r="H33" s="15">
        <f ca="1">IFERROR(__xludf.DUMMYFUNCTION("""COMPUTED_VALUE"""),13)</f>
        <v>13</v>
      </c>
      <c r="I33" s="15">
        <f ca="1">IFERROR(__xludf.DUMMYFUNCTION("""COMPUTED_VALUE"""),65)</f>
        <v>65</v>
      </c>
      <c r="J33" s="15">
        <f ca="1">IFERROR(__xludf.DUMMYFUNCTION("""COMPUTED_VALUE"""),100)</f>
        <v>100</v>
      </c>
      <c r="K33" s="15" t="str">
        <f ca="1">IFERROR(__xludf.DUMMYFUNCTION("""COMPUTED_VALUE"""),"28/02/2021 20:49:02")</f>
        <v>28/02/2021 20:49:02</v>
      </c>
      <c r="L33" s="15">
        <f ca="1">IFERROR(__xludf.DUMMYFUNCTION("""COMPUTED_VALUE"""),999)</f>
        <v>999</v>
      </c>
      <c r="M33" s="16">
        <f ca="1">IFERROR(__xludf.DUMMYFUNCTION("""COMPUTED_VALUE"""),16.65)</f>
        <v>16.649999999999999</v>
      </c>
      <c r="N33" s="17"/>
    </row>
    <row r="34" spans="1:14" ht="15.75" customHeight="1">
      <c r="A34" s="15">
        <f ca="1">IFERROR(__xludf.DUMMYFUNCTION("""COMPUTED_VALUE"""),318)</f>
        <v>318</v>
      </c>
      <c r="B34" s="15" t="str">
        <f ca="1">IFERROR(__xludf.DUMMYFUNCTION("""COMPUTED_VALUE"""),"Vũ Nam Hưng")</f>
        <v>Vũ Nam Hưng</v>
      </c>
      <c r="C34" s="15" t="str">
        <f ca="1">IFERROR(__xludf.DUMMYFUNCTION("""COMPUTED_VALUE"""),"s1-15526")</f>
        <v>s1-15526</v>
      </c>
      <c r="D34" s="15">
        <f ca="1">IFERROR(__xludf.DUMMYFUNCTION("""COMPUTED_VALUE"""),4)</f>
        <v>4</v>
      </c>
      <c r="E34" s="15" t="str">
        <f ca="1">IFERROR(__xludf.DUMMYFUNCTION("""COMPUTED_VALUE"""),"4A6")</f>
        <v>4A6</v>
      </c>
      <c r="F34" s="15" t="str">
        <f ca="1">IFERROR(__xludf.DUMMYFUNCTION("""COMPUTED_VALUE"""),"TH Thành Công A")</f>
        <v>TH Thành Công A</v>
      </c>
      <c r="G34" s="15">
        <f ca="1">IFERROR(__xludf.DUMMYFUNCTION("""COMPUTED_VALUE"""),7)</f>
        <v>7</v>
      </c>
      <c r="H34" s="15">
        <f ca="1">IFERROR(__xludf.DUMMYFUNCTION("""COMPUTED_VALUE"""),13)</f>
        <v>13</v>
      </c>
      <c r="I34" s="15">
        <f ca="1">IFERROR(__xludf.DUMMYFUNCTION("""COMPUTED_VALUE"""),65)</f>
        <v>65</v>
      </c>
      <c r="J34" s="15">
        <f ca="1">IFERROR(__xludf.DUMMYFUNCTION("""COMPUTED_VALUE"""),100)</f>
        <v>100</v>
      </c>
      <c r="K34" s="15" t="str">
        <f ca="1">IFERROR(__xludf.DUMMYFUNCTION("""COMPUTED_VALUE"""),"28/02/2021 20:24:33")</f>
        <v>28/02/2021 20:24:33</v>
      </c>
      <c r="L34" s="15">
        <f ca="1">IFERROR(__xludf.DUMMYFUNCTION("""COMPUTED_VALUE"""),1249)</f>
        <v>1249</v>
      </c>
      <c r="M34" s="16">
        <f ca="1">IFERROR(__xludf.DUMMYFUNCTION("""COMPUTED_VALUE"""),20.8166666666666)</f>
        <v>20.816666666666599</v>
      </c>
      <c r="N34" s="17"/>
    </row>
    <row r="35" spans="1:14" ht="15.75" customHeight="1">
      <c r="A35" s="15">
        <f ca="1">IFERROR(__xludf.DUMMYFUNCTION("""COMPUTED_VALUE"""),319)</f>
        <v>319</v>
      </c>
      <c r="B35" s="15" t="str">
        <f ca="1">IFERROR(__xludf.DUMMYFUNCTION("""COMPUTED_VALUE"""),"Nguyễn Đại Việt")</f>
        <v>Nguyễn Đại Việt</v>
      </c>
      <c r="C35" s="15" t="str">
        <f ca="1">IFERROR(__xludf.DUMMYFUNCTION("""COMPUTED_VALUE"""),"s1-15498")</f>
        <v>s1-15498</v>
      </c>
      <c r="D35" s="15">
        <f ca="1">IFERROR(__xludf.DUMMYFUNCTION("""COMPUTED_VALUE"""),4)</f>
        <v>4</v>
      </c>
      <c r="E35" s="15" t="str">
        <f ca="1">IFERROR(__xludf.DUMMYFUNCTION("""COMPUTED_VALUE"""),"4A1")</f>
        <v>4A1</v>
      </c>
      <c r="F35" s="15" t="str">
        <f ca="1">IFERROR(__xludf.DUMMYFUNCTION("""COMPUTED_VALUE"""),"TH Thành Công A")</f>
        <v>TH Thành Công A</v>
      </c>
      <c r="G35" s="15">
        <f ca="1">IFERROR(__xludf.DUMMYFUNCTION("""COMPUTED_VALUE"""),7)</f>
        <v>7</v>
      </c>
      <c r="H35" s="15">
        <f ca="1">IFERROR(__xludf.DUMMYFUNCTION("""COMPUTED_VALUE"""),13)</f>
        <v>13</v>
      </c>
      <c r="I35" s="15">
        <f ca="1">IFERROR(__xludf.DUMMYFUNCTION("""COMPUTED_VALUE"""),65)</f>
        <v>65</v>
      </c>
      <c r="J35" s="15">
        <f ca="1">IFERROR(__xludf.DUMMYFUNCTION("""COMPUTED_VALUE"""),100)</f>
        <v>100</v>
      </c>
      <c r="K35" s="15" t="str">
        <f ca="1">IFERROR(__xludf.DUMMYFUNCTION("""COMPUTED_VALUE"""),"28/02/2021 20:23:02")</f>
        <v>28/02/2021 20:23:02</v>
      </c>
      <c r="L35" s="15">
        <f ca="1">IFERROR(__xludf.DUMMYFUNCTION("""COMPUTED_VALUE"""),1256)</f>
        <v>1256</v>
      </c>
      <c r="M35" s="16">
        <f ca="1">IFERROR(__xludf.DUMMYFUNCTION("""COMPUTED_VALUE"""),20.9333333333333)</f>
        <v>20.933333333333302</v>
      </c>
      <c r="N35" s="17"/>
    </row>
    <row r="36" spans="1:14" ht="15.75" customHeight="1">
      <c r="A36" s="15">
        <f ca="1">IFERROR(__xludf.DUMMYFUNCTION("""COMPUTED_VALUE"""),327)</f>
        <v>327</v>
      </c>
      <c r="B36" s="15" t="str">
        <f ca="1">IFERROR(__xludf.DUMMYFUNCTION("""COMPUTED_VALUE"""),"Lại Tuấn Phát")</f>
        <v>Lại Tuấn Phát</v>
      </c>
      <c r="C36" s="15" t="str">
        <f ca="1">IFERROR(__xludf.DUMMYFUNCTION("""COMPUTED_VALUE"""),"s1-15113")</f>
        <v>s1-15113</v>
      </c>
      <c r="D36" s="15">
        <f ca="1">IFERROR(__xludf.DUMMYFUNCTION("""COMPUTED_VALUE"""),4)</f>
        <v>4</v>
      </c>
      <c r="E36" s="15" t="str">
        <f ca="1">IFERROR(__xludf.DUMMYFUNCTION("""COMPUTED_VALUE"""),"4A3")</f>
        <v>4A3</v>
      </c>
      <c r="F36" s="15" t="str">
        <f ca="1">IFERROR(__xludf.DUMMYFUNCTION("""COMPUTED_VALUE"""),"TH Thành Công A")</f>
        <v>TH Thành Công A</v>
      </c>
      <c r="G36" s="15">
        <f ca="1">IFERROR(__xludf.DUMMYFUNCTION("""COMPUTED_VALUE"""),7)</f>
        <v>7</v>
      </c>
      <c r="H36" s="15">
        <f ca="1">IFERROR(__xludf.DUMMYFUNCTION("""COMPUTED_VALUE"""),13)</f>
        <v>13</v>
      </c>
      <c r="I36" s="15">
        <f ca="1">IFERROR(__xludf.DUMMYFUNCTION("""COMPUTED_VALUE"""),65)</f>
        <v>65</v>
      </c>
      <c r="J36" s="15">
        <f ca="1">IFERROR(__xludf.DUMMYFUNCTION("""COMPUTED_VALUE"""),100)</f>
        <v>100</v>
      </c>
      <c r="K36" s="15" t="str">
        <f ca="1">IFERROR(__xludf.DUMMYFUNCTION("""COMPUTED_VALUE"""),"28/02/2021 20:24:44")</f>
        <v>28/02/2021 20:24:44</v>
      </c>
      <c r="L36" s="15">
        <f ca="1">IFERROR(__xludf.DUMMYFUNCTION("""COMPUTED_VALUE"""),1481)</f>
        <v>1481</v>
      </c>
      <c r="M36" s="16">
        <f ca="1">IFERROR(__xludf.DUMMYFUNCTION("""COMPUTED_VALUE"""),24.6833333333333)</f>
        <v>24.683333333333302</v>
      </c>
      <c r="N36" s="17"/>
    </row>
    <row r="37" spans="1:14" ht="15.75" customHeight="1">
      <c r="A37" s="15">
        <f ca="1">IFERROR(__xludf.DUMMYFUNCTION("""COMPUTED_VALUE"""),329)</f>
        <v>329</v>
      </c>
      <c r="B37" s="15" t="str">
        <f ca="1">IFERROR(__xludf.DUMMYFUNCTION("""COMPUTED_VALUE"""),"Nguyễn Phan Minh Quân")</f>
        <v>Nguyễn Phan Minh Quân</v>
      </c>
      <c r="C37" s="15" t="str">
        <f ca="1">IFERROR(__xludf.DUMMYFUNCTION("""COMPUTED_VALUE"""),"s1-15557")</f>
        <v>s1-15557</v>
      </c>
      <c r="D37" s="15">
        <f ca="1">IFERROR(__xludf.DUMMYFUNCTION("""COMPUTED_VALUE"""),5)</f>
        <v>5</v>
      </c>
      <c r="E37" s="15" t="str">
        <f ca="1">IFERROR(__xludf.DUMMYFUNCTION("""COMPUTED_VALUE"""),"5A5")</f>
        <v>5A5</v>
      </c>
      <c r="F37" s="15" t="str">
        <f ca="1">IFERROR(__xludf.DUMMYFUNCTION("""COMPUTED_VALUE"""),"TH Thành Công A")</f>
        <v>TH Thành Công A</v>
      </c>
      <c r="G37" s="15">
        <f ca="1">IFERROR(__xludf.DUMMYFUNCTION("""COMPUTED_VALUE"""),7)</f>
        <v>7</v>
      </c>
      <c r="H37" s="15">
        <f ca="1">IFERROR(__xludf.DUMMYFUNCTION("""COMPUTED_VALUE"""),13)</f>
        <v>13</v>
      </c>
      <c r="I37" s="15">
        <f ca="1">IFERROR(__xludf.DUMMYFUNCTION("""COMPUTED_VALUE"""),65)</f>
        <v>65</v>
      </c>
      <c r="J37" s="15">
        <f ca="1">IFERROR(__xludf.DUMMYFUNCTION("""COMPUTED_VALUE"""),100)</f>
        <v>100</v>
      </c>
      <c r="K37" s="15" t="str">
        <f ca="1">IFERROR(__xludf.DUMMYFUNCTION("""COMPUTED_VALUE"""),"28/02/2021 20:25:34")</f>
        <v>28/02/2021 20:25:34</v>
      </c>
      <c r="L37" s="15">
        <f ca="1">IFERROR(__xludf.DUMMYFUNCTION("""COMPUTED_VALUE"""),1530)</f>
        <v>1530</v>
      </c>
      <c r="M37" s="16">
        <f ca="1">IFERROR(__xludf.DUMMYFUNCTION("""COMPUTED_VALUE"""),25.5)</f>
        <v>25.5</v>
      </c>
      <c r="N37" s="17"/>
    </row>
    <row r="38" spans="1:14" ht="15.75" customHeight="1">
      <c r="A38" s="15">
        <f ca="1">IFERROR(__xludf.DUMMYFUNCTION("""COMPUTED_VALUE"""),337)</f>
        <v>337</v>
      </c>
      <c r="B38" s="15" t="str">
        <f ca="1">IFERROR(__xludf.DUMMYFUNCTION("""COMPUTED_VALUE"""),"Thanh Thảo")</f>
        <v>Thanh Thảo</v>
      </c>
      <c r="C38" s="15" t="str">
        <f ca="1">IFERROR(__xludf.DUMMYFUNCTION("""COMPUTED_VALUE"""),"xuandai@gmail.com")</f>
        <v>xuandai@gmail.com</v>
      </c>
      <c r="D38" s="15">
        <f ca="1">IFERROR(__xludf.DUMMYFUNCTION("""COMPUTED_VALUE"""),4)</f>
        <v>4</v>
      </c>
      <c r="E38" s="15" t="str">
        <f ca="1">IFERROR(__xludf.DUMMYFUNCTION("""COMPUTED_VALUE"""),"4A3")</f>
        <v>4A3</v>
      </c>
      <c r="F38" s="15" t="str">
        <f ca="1">IFERROR(__xludf.DUMMYFUNCTION("""COMPUTED_VALUE"""),"TH Thành Công A")</f>
        <v>TH Thành Công A</v>
      </c>
      <c r="G38" s="15">
        <f ca="1">IFERROR(__xludf.DUMMYFUNCTION("""COMPUTED_VALUE"""),7)</f>
        <v>7</v>
      </c>
      <c r="H38" s="15">
        <f ca="1">IFERROR(__xludf.DUMMYFUNCTION("""COMPUTED_VALUE"""),13)</f>
        <v>13</v>
      </c>
      <c r="I38" s="15">
        <f ca="1">IFERROR(__xludf.DUMMYFUNCTION("""COMPUTED_VALUE"""),65)</f>
        <v>65</v>
      </c>
      <c r="J38" s="15">
        <f ca="1">IFERROR(__xludf.DUMMYFUNCTION("""COMPUTED_VALUE"""),100)</f>
        <v>100</v>
      </c>
      <c r="K38" s="15" t="str">
        <f ca="1">IFERROR(__xludf.DUMMYFUNCTION("""COMPUTED_VALUE"""),"28/02/2021 20:28:21")</f>
        <v>28/02/2021 20:28:21</v>
      </c>
      <c r="L38" s="15">
        <f ca="1">IFERROR(__xludf.DUMMYFUNCTION("""COMPUTED_VALUE"""),1696)</f>
        <v>1696</v>
      </c>
      <c r="M38" s="16">
        <f ca="1">IFERROR(__xludf.DUMMYFUNCTION("""COMPUTED_VALUE"""),28.2666666666666)</f>
        <v>28.266666666666602</v>
      </c>
      <c r="N38" s="17"/>
    </row>
    <row r="39" spans="1:14" ht="15.75" customHeight="1">
      <c r="A39" s="15">
        <f ca="1">IFERROR(__xludf.DUMMYFUNCTION("""COMPUTED_VALUE"""),353)</f>
        <v>353</v>
      </c>
      <c r="B39" s="15" t="str">
        <f ca="1">IFERROR(__xludf.DUMMYFUNCTION("""COMPUTED_VALUE"""),"Phạm Phương Mai")</f>
        <v>Phạm Phương Mai</v>
      </c>
      <c r="C39" s="15" t="str">
        <f ca="1">IFERROR(__xludf.DUMMYFUNCTION("""COMPUTED_VALUE"""),"s1-15537")</f>
        <v>s1-15537</v>
      </c>
      <c r="D39" s="15">
        <f ca="1">IFERROR(__xludf.DUMMYFUNCTION("""COMPUTED_VALUE"""),4)</f>
        <v>4</v>
      </c>
      <c r="E39" s="15" t="str">
        <f ca="1">IFERROR(__xludf.DUMMYFUNCTION("""COMPUTED_VALUE"""),"4A6")</f>
        <v>4A6</v>
      </c>
      <c r="F39" s="15" t="str">
        <f ca="1">IFERROR(__xludf.DUMMYFUNCTION("""COMPUTED_VALUE"""),"TH Thành Công A")</f>
        <v>TH Thành Công A</v>
      </c>
      <c r="G39" s="15">
        <f ca="1">IFERROR(__xludf.DUMMYFUNCTION("""COMPUTED_VALUE"""),7)</f>
        <v>7</v>
      </c>
      <c r="H39" s="15">
        <f ca="1">IFERROR(__xludf.DUMMYFUNCTION("""COMPUTED_VALUE"""),13)</f>
        <v>13</v>
      </c>
      <c r="I39" s="15">
        <f ca="1">IFERROR(__xludf.DUMMYFUNCTION("""COMPUTED_VALUE"""),65)</f>
        <v>65</v>
      </c>
      <c r="J39" s="15">
        <f ca="1">IFERROR(__xludf.DUMMYFUNCTION("""COMPUTED_VALUE"""),100)</f>
        <v>100</v>
      </c>
      <c r="K39" s="15" t="str">
        <f ca="1">IFERROR(__xludf.DUMMYFUNCTION("""COMPUTED_VALUE"""),"28/02/2021 20:55:34")</f>
        <v>28/02/2021 20:55:34</v>
      </c>
      <c r="L39" s="15">
        <f ca="1">IFERROR(__xludf.DUMMYFUNCTION("""COMPUTED_VALUE"""),3327)</f>
        <v>3327</v>
      </c>
      <c r="M39" s="16">
        <f ca="1">IFERROR(__xludf.DUMMYFUNCTION("""COMPUTED_VALUE"""),55.45)</f>
        <v>55.45</v>
      </c>
      <c r="N39" s="17"/>
    </row>
    <row r="40" spans="1:14" ht="15.75" customHeight="1">
      <c r="A40" s="15">
        <f ca="1">IFERROR(__xludf.DUMMYFUNCTION("""COMPUTED_VALUE"""),359)</f>
        <v>359</v>
      </c>
      <c r="B40" s="15" t="str">
        <f ca="1">IFERROR(__xludf.DUMMYFUNCTION("""COMPUTED_VALUE"""),"Nguyễn Văn Dũng")</f>
        <v>Nguyễn Văn Dũng</v>
      </c>
      <c r="C40" s="15" t="str">
        <f ca="1">IFERROR(__xludf.DUMMYFUNCTION("""COMPUTED_VALUE"""),"s1-15700")</f>
        <v>s1-15700</v>
      </c>
      <c r="D40" s="15">
        <f ca="1">IFERROR(__xludf.DUMMYFUNCTION("""COMPUTED_VALUE"""),4)</f>
        <v>4</v>
      </c>
      <c r="E40" s="15" t="str">
        <f ca="1">IFERROR(__xludf.DUMMYFUNCTION("""COMPUTED_VALUE"""),"4A6")</f>
        <v>4A6</v>
      </c>
      <c r="F40" s="15" t="str">
        <f ca="1">IFERROR(__xludf.DUMMYFUNCTION("""COMPUTED_VALUE"""),"TH Thành Công A")</f>
        <v>TH Thành Công A</v>
      </c>
      <c r="G40" s="15">
        <f ca="1">IFERROR(__xludf.DUMMYFUNCTION("""COMPUTED_VALUE"""),8)</f>
        <v>8</v>
      </c>
      <c r="H40" s="15">
        <f ca="1">IFERROR(__xludf.DUMMYFUNCTION("""COMPUTED_VALUE"""),12)</f>
        <v>12</v>
      </c>
      <c r="I40" s="15">
        <f ca="1">IFERROR(__xludf.DUMMYFUNCTION("""COMPUTED_VALUE"""),60)</f>
        <v>60</v>
      </c>
      <c r="J40" s="15">
        <f ca="1">IFERROR(__xludf.DUMMYFUNCTION("""COMPUTED_VALUE"""),100)</f>
        <v>100</v>
      </c>
      <c r="K40" s="15" t="str">
        <f ca="1">IFERROR(__xludf.DUMMYFUNCTION("""COMPUTED_VALUE"""),"28/02/2021 20:21:16")</f>
        <v>28/02/2021 20:21:16</v>
      </c>
      <c r="L40" s="15">
        <f ca="1">IFERROR(__xludf.DUMMYFUNCTION("""COMPUTED_VALUE"""),670)</f>
        <v>670</v>
      </c>
      <c r="M40" s="16">
        <f ca="1">IFERROR(__xludf.DUMMYFUNCTION("""COMPUTED_VALUE"""),11.1666666666666)</f>
        <v>11.1666666666666</v>
      </c>
      <c r="N40" s="17"/>
    </row>
    <row r="41" spans="1:14" ht="15.75" customHeight="1">
      <c r="A41" s="15">
        <f ca="1">IFERROR(__xludf.DUMMYFUNCTION("""COMPUTED_VALUE"""),363)</f>
        <v>363</v>
      </c>
      <c r="B41" s="15" t="str">
        <f ca="1">IFERROR(__xludf.DUMMYFUNCTION("""COMPUTED_VALUE"""),"Nguyễn Minh Khang")</f>
        <v>Nguyễn Minh Khang</v>
      </c>
      <c r="C41" s="15" t="str">
        <f ca="1">IFERROR(__xludf.DUMMYFUNCTION("""COMPUTED_VALUE"""),"s1-15523")</f>
        <v>s1-15523</v>
      </c>
      <c r="D41" s="15">
        <f ca="1">IFERROR(__xludf.DUMMYFUNCTION("""COMPUTED_VALUE"""),4)</f>
        <v>4</v>
      </c>
      <c r="E41" s="15" t="str">
        <f ca="1">IFERROR(__xludf.DUMMYFUNCTION("""COMPUTED_VALUE"""),"4A6")</f>
        <v>4A6</v>
      </c>
      <c r="F41" s="15" t="str">
        <f ca="1">IFERROR(__xludf.DUMMYFUNCTION("""COMPUTED_VALUE"""),"TH Thành Công A")</f>
        <v>TH Thành Công A</v>
      </c>
      <c r="G41" s="15">
        <f ca="1">IFERROR(__xludf.DUMMYFUNCTION("""COMPUTED_VALUE"""),8)</f>
        <v>8</v>
      </c>
      <c r="H41" s="15">
        <f ca="1">IFERROR(__xludf.DUMMYFUNCTION("""COMPUTED_VALUE"""),12)</f>
        <v>12</v>
      </c>
      <c r="I41" s="15">
        <f ca="1">IFERROR(__xludf.DUMMYFUNCTION("""COMPUTED_VALUE"""),60)</f>
        <v>60</v>
      </c>
      <c r="J41" s="15">
        <f ca="1">IFERROR(__xludf.DUMMYFUNCTION("""COMPUTED_VALUE"""),100)</f>
        <v>100</v>
      </c>
      <c r="K41" s="15" t="str">
        <f ca="1">IFERROR(__xludf.DUMMYFUNCTION("""COMPUTED_VALUE"""),"28/02/2021 20:14:30")</f>
        <v>28/02/2021 20:14:30</v>
      </c>
      <c r="L41" s="15">
        <f ca="1">IFERROR(__xludf.DUMMYFUNCTION("""COMPUTED_VALUE"""),865)</f>
        <v>865</v>
      </c>
      <c r="M41" s="16">
        <f ca="1">IFERROR(__xludf.DUMMYFUNCTION("""COMPUTED_VALUE"""),14.4166666666666)</f>
        <v>14.4166666666666</v>
      </c>
      <c r="N41" s="17"/>
    </row>
    <row r="42" spans="1:14" ht="15.75" customHeight="1">
      <c r="A42" s="15">
        <f ca="1">IFERROR(__xludf.DUMMYFUNCTION("""COMPUTED_VALUE"""),376)</f>
        <v>376</v>
      </c>
      <c r="B42" s="15" t="str">
        <f ca="1">IFERROR(__xludf.DUMMYFUNCTION("""COMPUTED_VALUE"""),"Nguyễn Đình Gia Minh")</f>
        <v>Nguyễn Đình Gia Minh</v>
      </c>
      <c r="C42" s="15" t="str">
        <f ca="1">IFERROR(__xludf.DUMMYFUNCTION("""COMPUTED_VALUE"""),"s1-17054")</f>
        <v>s1-17054</v>
      </c>
      <c r="D42" s="15">
        <f ca="1">IFERROR(__xludf.DUMMYFUNCTION("""COMPUTED_VALUE"""),5)</f>
        <v>5</v>
      </c>
      <c r="E42" s="15" t="str">
        <f ca="1">IFERROR(__xludf.DUMMYFUNCTION("""COMPUTED_VALUE"""),"5A5")</f>
        <v>5A5</v>
      </c>
      <c r="F42" s="15" t="str">
        <f ca="1">IFERROR(__xludf.DUMMYFUNCTION("""COMPUTED_VALUE"""),"TH Thành Công A")</f>
        <v>TH Thành Công A</v>
      </c>
      <c r="G42" s="15">
        <f ca="1">IFERROR(__xludf.DUMMYFUNCTION("""COMPUTED_VALUE"""),8)</f>
        <v>8</v>
      </c>
      <c r="H42" s="15">
        <f ca="1">IFERROR(__xludf.DUMMYFUNCTION("""COMPUTED_VALUE"""),12)</f>
        <v>12</v>
      </c>
      <c r="I42" s="15">
        <f ca="1">IFERROR(__xludf.DUMMYFUNCTION("""COMPUTED_VALUE"""),60)</f>
        <v>60</v>
      </c>
      <c r="J42" s="15">
        <f ca="1">IFERROR(__xludf.DUMMYFUNCTION("""COMPUTED_VALUE"""),100)</f>
        <v>100</v>
      </c>
      <c r="K42" s="15" t="str">
        <f ca="1">IFERROR(__xludf.DUMMYFUNCTION("""COMPUTED_VALUE"""),"28/02/2021 20:20:33")</f>
        <v>28/02/2021 20:20:33</v>
      </c>
      <c r="L42" s="15">
        <f ca="1">IFERROR(__xludf.DUMMYFUNCTION("""COMPUTED_VALUE"""),1178)</f>
        <v>1178</v>
      </c>
      <c r="M42" s="16">
        <f ca="1">IFERROR(__xludf.DUMMYFUNCTION("""COMPUTED_VALUE"""),19.6333333333333)</f>
        <v>19.633333333333301</v>
      </c>
      <c r="N42" s="17"/>
    </row>
    <row r="43" spans="1:14" ht="15.75" customHeight="1">
      <c r="A43" s="15">
        <f ca="1">IFERROR(__xludf.DUMMYFUNCTION("""COMPUTED_VALUE"""),388)</f>
        <v>388</v>
      </c>
      <c r="B43" s="15" t="str">
        <f ca="1">IFERROR(__xludf.DUMMYFUNCTION("""COMPUTED_VALUE"""),"Hoàng Đức Long")</f>
        <v>Hoàng Đức Long</v>
      </c>
      <c r="C43" s="15" t="str">
        <f ca="1">IFERROR(__xludf.DUMMYFUNCTION("""COMPUTED_VALUE"""),"s1-15495")</f>
        <v>s1-15495</v>
      </c>
      <c r="D43" s="15">
        <f ca="1">IFERROR(__xludf.DUMMYFUNCTION("""COMPUTED_VALUE"""),4)</f>
        <v>4</v>
      </c>
      <c r="E43" s="15" t="str">
        <f ca="1">IFERROR(__xludf.DUMMYFUNCTION("""COMPUTED_VALUE"""),"4A1")</f>
        <v>4A1</v>
      </c>
      <c r="F43" s="15" t="str">
        <f ca="1">IFERROR(__xludf.DUMMYFUNCTION("""COMPUTED_VALUE"""),"TH Thành Công A")</f>
        <v>TH Thành Công A</v>
      </c>
      <c r="G43" s="15">
        <f ca="1">IFERROR(__xludf.DUMMYFUNCTION("""COMPUTED_VALUE"""),8)</f>
        <v>8</v>
      </c>
      <c r="H43" s="15">
        <f ca="1">IFERROR(__xludf.DUMMYFUNCTION("""COMPUTED_VALUE"""),12)</f>
        <v>12</v>
      </c>
      <c r="I43" s="15">
        <f ca="1">IFERROR(__xludf.DUMMYFUNCTION("""COMPUTED_VALUE"""),60)</f>
        <v>60</v>
      </c>
      <c r="J43" s="15">
        <f ca="1">IFERROR(__xludf.DUMMYFUNCTION("""COMPUTED_VALUE"""),100)</f>
        <v>100</v>
      </c>
      <c r="K43" s="15" t="str">
        <f ca="1">IFERROR(__xludf.DUMMYFUNCTION("""COMPUTED_VALUE"""),"28/02/2021 20:36:42")</f>
        <v>28/02/2021 20:36:42</v>
      </c>
      <c r="L43" s="15">
        <f ca="1">IFERROR(__xludf.DUMMYFUNCTION("""COMPUTED_VALUE"""),1649)</f>
        <v>1649</v>
      </c>
      <c r="M43" s="16">
        <f ca="1">IFERROR(__xludf.DUMMYFUNCTION("""COMPUTED_VALUE"""),27.4833333333333)</f>
        <v>27.483333333333299</v>
      </c>
      <c r="N43" s="17"/>
    </row>
    <row r="44" spans="1:14" ht="15.75" customHeight="1">
      <c r="A44" s="15">
        <f ca="1">IFERROR(__xludf.DUMMYFUNCTION("""COMPUTED_VALUE"""),398)</f>
        <v>398</v>
      </c>
      <c r="B44" s="15" t="str">
        <f ca="1">IFERROR(__xludf.DUMMYFUNCTION("""COMPUTED_VALUE"""),"Phan Đỗ Ngọc Mai")</f>
        <v>Phan Đỗ Ngọc Mai</v>
      </c>
      <c r="C44" s="15" t="str">
        <f ca="1">IFERROR(__xludf.DUMMYFUNCTION("""COMPUTED_VALUE"""),"s1-15560")</f>
        <v>s1-15560</v>
      </c>
      <c r="D44" s="15">
        <f ca="1">IFERROR(__xludf.DUMMYFUNCTION("""COMPUTED_VALUE"""),5)</f>
        <v>5</v>
      </c>
      <c r="E44" s="15" t="str">
        <f ca="1">IFERROR(__xludf.DUMMYFUNCTION("""COMPUTED_VALUE"""),"5A5")</f>
        <v>5A5</v>
      </c>
      <c r="F44" s="15" t="str">
        <f ca="1">IFERROR(__xludf.DUMMYFUNCTION("""COMPUTED_VALUE"""),"TH Thành Công A")</f>
        <v>TH Thành Công A</v>
      </c>
      <c r="G44" s="15">
        <f ca="1">IFERROR(__xludf.DUMMYFUNCTION("""COMPUTED_VALUE"""),8)</f>
        <v>8</v>
      </c>
      <c r="H44" s="15">
        <f ca="1">IFERROR(__xludf.DUMMYFUNCTION("""COMPUTED_VALUE"""),12)</f>
        <v>12</v>
      </c>
      <c r="I44" s="15">
        <f ca="1">IFERROR(__xludf.DUMMYFUNCTION("""COMPUTED_VALUE"""),60)</f>
        <v>60</v>
      </c>
      <c r="J44" s="15">
        <f ca="1">IFERROR(__xludf.DUMMYFUNCTION("""COMPUTED_VALUE"""),100)</f>
        <v>100</v>
      </c>
      <c r="K44" s="15" t="str">
        <f ca="1">IFERROR(__xludf.DUMMYFUNCTION("""COMPUTED_VALUE"""),"28/02/2021 20:34:05")</f>
        <v>28/02/2021 20:34:05</v>
      </c>
      <c r="L44" s="15">
        <f ca="1">IFERROR(__xludf.DUMMYFUNCTION("""COMPUTED_VALUE"""),2039)</f>
        <v>2039</v>
      </c>
      <c r="M44" s="16">
        <f ca="1">IFERROR(__xludf.DUMMYFUNCTION("""COMPUTED_VALUE"""),33.9833333333333)</f>
        <v>33.983333333333299</v>
      </c>
      <c r="N44" s="17"/>
    </row>
    <row r="45" spans="1:14" ht="15.75" customHeight="1">
      <c r="A45" s="15">
        <f ca="1">IFERROR(__xludf.DUMMYFUNCTION("""COMPUTED_VALUE"""),439)</f>
        <v>439</v>
      </c>
      <c r="B45" s="15" t="str">
        <f ca="1">IFERROR(__xludf.DUMMYFUNCTION("""COMPUTED_VALUE"""),"Phạm Minh Anh")</f>
        <v>Phạm Minh Anh</v>
      </c>
      <c r="C45" s="15" t="str">
        <f ca="1">IFERROR(__xludf.DUMMYFUNCTION("""COMPUTED_VALUE"""),"s1-15554")</f>
        <v>s1-15554</v>
      </c>
      <c r="D45" s="15">
        <f ca="1">IFERROR(__xludf.DUMMYFUNCTION("""COMPUTED_VALUE"""),5)</f>
        <v>5</v>
      </c>
      <c r="E45" s="15" t="str">
        <f ca="1">IFERROR(__xludf.DUMMYFUNCTION("""COMPUTED_VALUE"""),"5A5")</f>
        <v>5A5</v>
      </c>
      <c r="F45" s="15" t="str">
        <f ca="1">IFERROR(__xludf.DUMMYFUNCTION("""COMPUTED_VALUE"""),"TH Thành Công A")</f>
        <v>TH Thành Công A</v>
      </c>
      <c r="G45" s="15">
        <f ca="1">IFERROR(__xludf.DUMMYFUNCTION("""COMPUTED_VALUE"""),9)</f>
        <v>9</v>
      </c>
      <c r="H45" s="15">
        <f ca="1">IFERROR(__xludf.DUMMYFUNCTION("""COMPUTED_VALUE"""),11)</f>
        <v>11</v>
      </c>
      <c r="I45" s="15">
        <f ca="1">IFERROR(__xludf.DUMMYFUNCTION("""COMPUTED_VALUE"""),55)</f>
        <v>55</v>
      </c>
      <c r="J45" s="15">
        <f ca="1">IFERROR(__xludf.DUMMYFUNCTION("""COMPUTED_VALUE"""),100)</f>
        <v>100</v>
      </c>
      <c r="K45" s="15" t="str">
        <f ca="1">IFERROR(__xludf.DUMMYFUNCTION("""COMPUTED_VALUE"""),"28/02/2021 20:27:06")</f>
        <v>28/02/2021 20:27:06</v>
      </c>
      <c r="L45" s="15">
        <f ca="1">IFERROR(__xludf.DUMMYFUNCTION("""COMPUTED_VALUE"""),1622)</f>
        <v>1622</v>
      </c>
      <c r="M45" s="16">
        <f ca="1">IFERROR(__xludf.DUMMYFUNCTION("""COMPUTED_VALUE"""),27.0333333333333)</f>
        <v>27.033333333333299</v>
      </c>
      <c r="N45" s="17"/>
    </row>
    <row r="46" spans="1:14" ht="15.75" customHeight="1">
      <c r="A46" s="15">
        <f ca="1">IFERROR(__xludf.DUMMYFUNCTION("""COMPUTED_VALUE"""),462)</f>
        <v>462</v>
      </c>
      <c r="B46" s="15" t="str">
        <f ca="1">IFERROR(__xludf.DUMMYFUNCTION("""COMPUTED_VALUE"""),"Nguyễn Phúc Trí")</f>
        <v>Nguyễn Phúc Trí</v>
      </c>
      <c r="C46" s="15" t="str">
        <f ca="1">IFERROR(__xludf.DUMMYFUNCTION("""COMPUTED_VALUE"""),"s1-15519")</f>
        <v>s1-15519</v>
      </c>
      <c r="D46" s="15">
        <f ca="1">IFERROR(__xludf.DUMMYFUNCTION("""COMPUTED_VALUE"""),4)</f>
        <v>4</v>
      </c>
      <c r="E46" s="15" t="str">
        <f ca="1">IFERROR(__xludf.DUMMYFUNCTION("""COMPUTED_VALUE"""),"4A5")</f>
        <v>4A5</v>
      </c>
      <c r="F46" s="15" t="str">
        <f ca="1">IFERROR(__xludf.DUMMYFUNCTION("""COMPUTED_VALUE"""),"TH Thành Công A")</f>
        <v>TH Thành Công A</v>
      </c>
      <c r="G46" s="15">
        <f ca="1">IFERROR(__xludf.DUMMYFUNCTION("""COMPUTED_VALUE"""),10)</f>
        <v>10</v>
      </c>
      <c r="H46" s="15">
        <f ca="1">IFERROR(__xludf.DUMMYFUNCTION("""COMPUTED_VALUE"""),10)</f>
        <v>10</v>
      </c>
      <c r="I46" s="15">
        <f ca="1">IFERROR(__xludf.DUMMYFUNCTION("""COMPUTED_VALUE"""),50)</f>
        <v>50</v>
      </c>
      <c r="J46" s="15">
        <f ca="1">IFERROR(__xludf.DUMMYFUNCTION("""COMPUTED_VALUE"""),100)</f>
        <v>100</v>
      </c>
      <c r="K46" s="15" t="str">
        <f ca="1">IFERROR(__xludf.DUMMYFUNCTION("""COMPUTED_VALUE"""),"28/02/2021 20:10:57")</f>
        <v>28/02/2021 20:10:57</v>
      </c>
      <c r="L46" s="15">
        <f ca="1">IFERROR(__xludf.DUMMYFUNCTION("""COMPUTED_VALUE"""),654)</f>
        <v>654</v>
      </c>
      <c r="M46" s="16">
        <f ca="1">IFERROR(__xludf.DUMMYFUNCTION("""COMPUTED_VALUE"""),10.9)</f>
        <v>10.9</v>
      </c>
      <c r="N46" s="17"/>
    </row>
    <row r="47" spans="1:14" ht="15.75" customHeight="1">
      <c r="A47" s="15">
        <f ca="1">IFERROR(__xludf.DUMMYFUNCTION("""COMPUTED_VALUE"""),469)</f>
        <v>469</v>
      </c>
      <c r="B47" s="15" t="str">
        <f ca="1">IFERROR(__xludf.DUMMYFUNCTION("""COMPUTED_VALUE"""),"Nguyễn Chí Khuê")</f>
        <v>Nguyễn Chí Khuê</v>
      </c>
      <c r="C47" s="15" t="str">
        <f ca="1">IFERROR(__xludf.DUMMYFUNCTION("""COMPUTED_VALUE"""),"s1-16604")</f>
        <v>s1-16604</v>
      </c>
      <c r="D47" s="15">
        <f ca="1">IFERROR(__xludf.DUMMYFUNCTION("""COMPUTED_VALUE"""),4)</f>
        <v>4</v>
      </c>
      <c r="E47" s="15" t="str">
        <f ca="1">IFERROR(__xludf.DUMMYFUNCTION("""COMPUTED_VALUE"""),"4A2")</f>
        <v>4A2</v>
      </c>
      <c r="F47" s="15" t="str">
        <f ca="1">IFERROR(__xludf.DUMMYFUNCTION("""COMPUTED_VALUE"""),"TH Thành Công A")</f>
        <v>TH Thành Công A</v>
      </c>
      <c r="G47" s="15">
        <f ca="1">IFERROR(__xludf.DUMMYFUNCTION("""COMPUTED_VALUE"""),10)</f>
        <v>10</v>
      </c>
      <c r="H47" s="15">
        <f ca="1">IFERROR(__xludf.DUMMYFUNCTION("""COMPUTED_VALUE"""),10)</f>
        <v>10</v>
      </c>
      <c r="I47" s="15">
        <f ca="1">IFERROR(__xludf.DUMMYFUNCTION("""COMPUTED_VALUE"""),50)</f>
        <v>50</v>
      </c>
      <c r="J47" s="15">
        <f ca="1">IFERROR(__xludf.DUMMYFUNCTION("""COMPUTED_VALUE"""),100)</f>
        <v>100</v>
      </c>
      <c r="K47" s="15" t="str">
        <f ca="1">IFERROR(__xludf.DUMMYFUNCTION("""COMPUTED_VALUE"""),"28/02/2021 20:14:30")</f>
        <v>28/02/2021 20:14:30</v>
      </c>
      <c r="L47" s="15">
        <f ca="1">IFERROR(__xludf.DUMMYFUNCTION("""COMPUTED_VALUE"""),867)</f>
        <v>867</v>
      </c>
      <c r="M47" s="16">
        <f ca="1">IFERROR(__xludf.DUMMYFUNCTION("""COMPUTED_VALUE"""),14.45)</f>
        <v>14.45</v>
      </c>
      <c r="N47" s="17"/>
    </row>
    <row r="48" spans="1:14" ht="15.75" customHeight="1">
      <c r="A48" s="15">
        <f ca="1">IFERROR(__xludf.DUMMYFUNCTION("""COMPUTED_VALUE"""),489)</f>
        <v>489</v>
      </c>
      <c r="B48" s="15" t="str">
        <f ca="1">IFERROR(__xludf.DUMMYFUNCTION("""COMPUTED_VALUE"""),"Nguyễn Minh Khôi")</f>
        <v>Nguyễn Minh Khôi</v>
      </c>
      <c r="C48" s="15" t="str">
        <f ca="1">IFERROR(__xludf.DUMMYFUNCTION("""COMPUTED_VALUE"""),"s1-15521")</f>
        <v>s1-15521</v>
      </c>
      <c r="D48" s="19">
        <f ca="1">IFERROR(__xludf.DUMMYFUNCTION("""COMPUTED_VALUE"""),4)</f>
        <v>4</v>
      </c>
      <c r="E48" s="19" t="str">
        <f ca="1">IFERROR(__xludf.DUMMYFUNCTION("""COMPUTED_VALUE"""),"4A5")</f>
        <v>4A5</v>
      </c>
      <c r="F48" s="15" t="str">
        <f ca="1">IFERROR(__xludf.DUMMYFUNCTION("""COMPUTED_VALUE"""),"TH Thành Công A")</f>
        <v>TH Thành Công A</v>
      </c>
      <c r="G48" s="15">
        <f ca="1">IFERROR(__xludf.DUMMYFUNCTION("""COMPUTED_VALUE"""),10)</f>
        <v>10</v>
      </c>
      <c r="H48" s="15">
        <f ca="1">IFERROR(__xludf.DUMMYFUNCTION("""COMPUTED_VALUE"""),10)</f>
        <v>10</v>
      </c>
      <c r="I48" s="15">
        <f ca="1">IFERROR(__xludf.DUMMYFUNCTION("""COMPUTED_VALUE"""),50)</f>
        <v>50</v>
      </c>
      <c r="J48" s="15">
        <f ca="1">IFERROR(__xludf.DUMMYFUNCTION("""COMPUTED_VALUE"""),100)</f>
        <v>100</v>
      </c>
      <c r="K48" s="15" t="str">
        <f ca="1">IFERROR(__xludf.DUMMYFUNCTION("""COMPUTED_VALUE"""),"28/02/2021 20:52:18")</f>
        <v>28/02/2021 20:52:18</v>
      </c>
      <c r="L48" s="15">
        <f ca="1">IFERROR(__xludf.DUMMYFUNCTION("""COMPUTED_VALUE"""),1533)</f>
        <v>1533</v>
      </c>
      <c r="M48" s="16">
        <f ca="1">IFERROR(__xludf.DUMMYFUNCTION("""COMPUTED_VALUE"""),25.55)</f>
        <v>25.55</v>
      </c>
      <c r="N48" s="17"/>
    </row>
    <row r="49" spans="1:14" ht="15.75" customHeight="1">
      <c r="A49" s="15">
        <f ca="1">IFERROR(__xludf.DUMMYFUNCTION("""COMPUTED_VALUE"""),495)</f>
        <v>495</v>
      </c>
      <c r="B49" s="15" t="str">
        <f ca="1">IFERROR(__xludf.DUMMYFUNCTION("""COMPUTED_VALUE"""),"Nguyễn Tùng Nam")</f>
        <v>Nguyễn Tùng Nam</v>
      </c>
      <c r="C49" s="15" t="str">
        <f ca="1">IFERROR(__xludf.DUMMYFUNCTION("""COMPUTED_VALUE"""),"s1-15514")</f>
        <v>s1-15514</v>
      </c>
      <c r="D49" s="15">
        <f ca="1">IFERROR(__xludf.DUMMYFUNCTION("""COMPUTED_VALUE"""),4)</f>
        <v>4</v>
      </c>
      <c r="E49" s="15" t="str">
        <f ca="1">IFERROR(__xludf.DUMMYFUNCTION("""COMPUTED_VALUE"""),"4A4")</f>
        <v>4A4</v>
      </c>
      <c r="F49" s="15" t="str">
        <f ca="1">IFERROR(__xludf.DUMMYFUNCTION("""COMPUTED_VALUE"""),"TH Thành Công A")</f>
        <v>TH Thành Công A</v>
      </c>
      <c r="G49" s="15">
        <f ca="1">IFERROR(__xludf.DUMMYFUNCTION("""COMPUTED_VALUE"""),10)</f>
        <v>10</v>
      </c>
      <c r="H49" s="15">
        <f ca="1">IFERROR(__xludf.DUMMYFUNCTION("""COMPUTED_VALUE"""),10)</f>
        <v>10</v>
      </c>
      <c r="I49" s="15">
        <f ca="1">IFERROR(__xludf.DUMMYFUNCTION("""COMPUTED_VALUE"""),50)</f>
        <v>50</v>
      </c>
      <c r="J49" s="15">
        <f ca="1">IFERROR(__xludf.DUMMYFUNCTION("""COMPUTED_VALUE"""),100)</f>
        <v>100</v>
      </c>
      <c r="K49" s="15" t="str">
        <f ca="1">IFERROR(__xludf.DUMMYFUNCTION("""COMPUTED_VALUE"""),"28/02/2021 20:28:53")</f>
        <v>28/02/2021 20:28:53</v>
      </c>
      <c r="L49" s="15">
        <f ca="1">IFERROR(__xludf.DUMMYFUNCTION("""COMPUTED_VALUE"""),1730)</f>
        <v>1730</v>
      </c>
      <c r="M49" s="16">
        <f ca="1">IFERROR(__xludf.DUMMYFUNCTION("""COMPUTED_VALUE"""),28.8333333333333)</f>
        <v>28.8333333333333</v>
      </c>
      <c r="N49" s="17"/>
    </row>
    <row r="50" spans="1:14" ht="15.75" customHeight="1">
      <c r="A50" s="15">
        <f ca="1">IFERROR(__xludf.DUMMYFUNCTION("""COMPUTED_VALUE"""),516)</f>
        <v>516</v>
      </c>
      <c r="B50" s="15" t="str">
        <f ca="1">IFERROR(__xludf.DUMMYFUNCTION("""COMPUTED_VALUE"""),"Lâm Chí Vỹ")</f>
        <v>Lâm Chí Vỹ</v>
      </c>
      <c r="C50" s="15" t="str">
        <f ca="1">IFERROR(__xludf.DUMMYFUNCTION("""COMPUTED_VALUE"""),"s1-15551")</f>
        <v>s1-15551</v>
      </c>
      <c r="D50" s="15">
        <f ca="1">IFERROR(__xludf.DUMMYFUNCTION("""COMPUTED_VALUE"""),5)</f>
        <v>5</v>
      </c>
      <c r="E50" s="15" t="str">
        <f ca="1">IFERROR(__xludf.DUMMYFUNCTION("""COMPUTED_VALUE"""),"5A5")</f>
        <v>5A5</v>
      </c>
      <c r="F50" s="15" t="str">
        <f ca="1">IFERROR(__xludf.DUMMYFUNCTION("""COMPUTED_VALUE"""),"TH Thành Công A")</f>
        <v>TH Thành Công A</v>
      </c>
      <c r="G50" s="15">
        <f ca="1">IFERROR(__xludf.DUMMYFUNCTION("""COMPUTED_VALUE"""),11)</f>
        <v>11</v>
      </c>
      <c r="H50" s="15">
        <f ca="1">IFERROR(__xludf.DUMMYFUNCTION("""COMPUTED_VALUE"""),9)</f>
        <v>9</v>
      </c>
      <c r="I50" s="15">
        <f ca="1">IFERROR(__xludf.DUMMYFUNCTION("""COMPUTED_VALUE"""),45)</f>
        <v>45</v>
      </c>
      <c r="J50" s="15">
        <f ca="1">IFERROR(__xludf.DUMMYFUNCTION("""COMPUTED_VALUE"""),100)</f>
        <v>100</v>
      </c>
      <c r="K50" s="15" t="str">
        <f ca="1">IFERROR(__xludf.DUMMYFUNCTION("""COMPUTED_VALUE"""),"28/02/2021 20:57:59")</f>
        <v>28/02/2021 20:57:59</v>
      </c>
      <c r="L50" s="15">
        <f ca="1">IFERROR(__xludf.DUMMYFUNCTION("""COMPUTED_VALUE"""),863)</f>
        <v>863</v>
      </c>
      <c r="M50" s="16">
        <f ca="1">IFERROR(__xludf.DUMMYFUNCTION("""COMPUTED_VALUE"""),14.3833333333333)</f>
        <v>14.383333333333301</v>
      </c>
      <c r="N50" s="17"/>
    </row>
    <row r="51" spans="1:14" ht="15.75" customHeight="1">
      <c r="A51" s="15">
        <f ca="1">IFERROR(__xludf.DUMMYFUNCTION("""COMPUTED_VALUE"""),534)</f>
        <v>534</v>
      </c>
      <c r="B51" s="15" t="str">
        <f ca="1">IFERROR(__xludf.DUMMYFUNCTION("""COMPUTED_VALUE"""),"Trần Minh Vũ")</f>
        <v>Trần Minh Vũ</v>
      </c>
      <c r="C51" s="15" t="str">
        <f ca="1">IFERROR(__xludf.DUMMYFUNCTION("""COMPUTED_VALUE"""),"s1-15503")</f>
        <v>s1-15503</v>
      </c>
      <c r="D51" s="15">
        <f ca="1">IFERROR(__xludf.DUMMYFUNCTION("""COMPUTED_VALUE"""),4)</f>
        <v>4</v>
      </c>
      <c r="E51" s="15" t="str">
        <f ca="1">IFERROR(__xludf.DUMMYFUNCTION("""COMPUTED_VALUE"""),"4A1")</f>
        <v>4A1</v>
      </c>
      <c r="F51" s="15" t="str">
        <f ca="1">IFERROR(__xludf.DUMMYFUNCTION("""COMPUTED_VALUE"""),"TH Thành Công A")</f>
        <v>TH Thành Công A</v>
      </c>
      <c r="G51" s="15">
        <f ca="1">IFERROR(__xludf.DUMMYFUNCTION("""COMPUTED_VALUE"""),11)</f>
        <v>11</v>
      </c>
      <c r="H51" s="15">
        <f ca="1">IFERROR(__xludf.DUMMYFUNCTION("""COMPUTED_VALUE"""),9)</f>
        <v>9</v>
      </c>
      <c r="I51" s="15">
        <f ca="1">IFERROR(__xludf.DUMMYFUNCTION("""COMPUTED_VALUE"""),45)</f>
        <v>45</v>
      </c>
      <c r="J51" s="15">
        <f ca="1">IFERROR(__xludf.DUMMYFUNCTION("""COMPUTED_VALUE"""),100)</f>
        <v>100</v>
      </c>
      <c r="K51" s="15" t="str">
        <f ca="1">IFERROR(__xludf.DUMMYFUNCTION("""COMPUTED_VALUE"""),"28/02/2021 20:45:34")</f>
        <v>28/02/2021 20:45:34</v>
      </c>
      <c r="L51" s="15">
        <f ca="1">IFERROR(__xludf.DUMMYFUNCTION("""COMPUTED_VALUE"""),2722)</f>
        <v>2722</v>
      </c>
      <c r="M51" s="16">
        <f ca="1">IFERROR(__xludf.DUMMYFUNCTION("""COMPUTED_VALUE"""),45.3666666666666)</f>
        <v>45.366666666666603</v>
      </c>
      <c r="N51" s="17"/>
    </row>
    <row r="52" spans="1:14" ht="15.75" customHeight="1">
      <c r="A52" s="15">
        <f ca="1">IFERROR(__xludf.DUMMYFUNCTION("""COMPUTED_VALUE"""),555)</f>
        <v>555</v>
      </c>
      <c r="B52" s="15" t="str">
        <f ca="1">IFERROR(__xludf.DUMMYFUNCTION("""COMPUTED_VALUE"""),"Nguyễn Thế Hoàng")</f>
        <v>Nguyễn Thế Hoàng</v>
      </c>
      <c r="C52" s="15" t="str">
        <f ca="1">IFERROR(__xludf.DUMMYFUNCTION("""COMPUTED_VALUE"""),"s1-15511")</f>
        <v>s1-15511</v>
      </c>
      <c r="D52" s="15">
        <f ca="1">IFERROR(__xludf.DUMMYFUNCTION("""COMPUTED_VALUE"""),4)</f>
        <v>4</v>
      </c>
      <c r="E52" s="15" t="str">
        <f ca="1">IFERROR(__xludf.DUMMYFUNCTION("""COMPUTED_VALUE"""),"4A4")</f>
        <v>4A4</v>
      </c>
      <c r="F52" s="15" t="str">
        <f ca="1">IFERROR(__xludf.DUMMYFUNCTION("""COMPUTED_VALUE"""),"TH Thành Công A")</f>
        <v>TH Thành Công A</v>
      </c>
      <c r="G52" s="15">
        <f ca="1">IFERROR(__xludf.DUMMYFUNCTION("""COMPUTED_VALUE"""),12)</f>
        <v>12</v>
      </c>
      <c r="H52" s="15">
        <f ca="1">IFERROR(__xludf.DUMMYFUNCTION("""COMPUTED_VALUE"""),8)</f>
        <v>8</v>
      </c>
      <c r="I52" s="15">
        <f ca="1">IFERROR(__xludf.DUMMYFUNCTION("""COMPUTED_VALUE"""),40)</f>
        <v>40</v>
      </c>
      <c r="J52" s="15">
        <f ca="1">IFERROR(__xludf.DUMMYFUNCTION("""COMPUTED_VALUE"""),100)</f>
        <v>100</v>
      </c>
      <c r="K52" s="15" t="str">
        <f ca="1">IFERROR(__xludf.DUMMYFUNCTION("""COMPUTED_VALUE"""),"28/02/2021 20:18:05")</f>
        <v>28/02/2021 20:18:05</v>
      </c>
      <c r="L52" s="15">
        <f ca="1">IFERROR(__xludf.DUMMYFUNCTION("""COMPUTED_VALUE"""),1072)</f>
        <v>1072</v>
      </c>
      <c r="M52" s="16">
        <f ca="1">IFERROR(__xludf.DUMMYFUNCTION("""COMPUTED_VALUE"""),17.8666666666666)</f>
        <v>17.8666666666666</v>
      </c>
      <c r="N52" s="17"/>
    </row>
    <row r="53" spans="1:14" ht="15.75" customHeight="1">
      <c r="A53" s="15">
        <f ca="1">IFERROR(__xludf.DUMMYFUNCTION("""COMPUTED_VALUE"""),560)</f>
        <v>560</v>
      </c>
      <c r="B53" s="15" t="str">
        <f ca="1">IFERROR(__xludf.DUMMYFUNCTION("""COMPUTED_VALUE"""),"Phan Thùy Anh")</f>
        <v>Phan Thùy Anh</v>
      </c>
      <c r="C53" s="15" t="str">
        <f ca="1">IFERROR(__xludf.DUMMYFUNCTION("""COMPUTED_VALUE"""),"s1-16536")</f>
        <v>s1-16536</v>
      </c>
      <c r="D53" s="15">
        <f ca="1">IFERROR(__xludf.DUMMYFUNCTION("""COMPUTED_VALUE"""),5)</f>
        <v>5</v>
      </c>
      <c r="E53" s="15" t="str">
        <f ca="1">IFERROR(__xludf.DUMMYFUNCTION("""COMPUTED_VALUE"""),"5A5")</f>
        <v>5A5</v>
      </c>
      <c r="F53" s="15" t="str">
        <f ca="1">IFERROR(__xludf.DUMMYFUNCTION("""COMPUTED_VALUE"""),"TH Thành Công A")</f>
        <v>TH Thành Công A</v>
      </c>
      <c r="G53" s="15">
        <f ca="1">IFERROR(__xludf.DUMMYFUNCTION("""COMPUTED_VALUE"""),12)</f>
        <v>12</v>
      </c>
      <c r="H53" s="15">
        <f ca="1">IFERROR(__xludf.DUMMYFUNCTION("""COMPUTED_VALUE"""),8)</f>
        <v>8</v>
      </c>
      <c r="I53" s="15">
        <f ca="1">IFERROR(__xludf.DUMMYFUNCTION("""COMPUTED_VALUE"""),40)</f>
        <v>40</v>
      </c>
      <c r="J53" s="15">
        <f ca="1">IFERROR(__xludf.DUMMYFUNCTION("""COMPUTED_VALUE"""),100)</f>
        <v>100</v>
      </c>
      <c r="K53" s="15" t="str">
        <f ca="1">IFERROR(__xludf.DUMMYFUNCTION("""COMPUTED_VALUE"""),"28/02/2021 20:19:03")</f>
        <v>28/02/2021 20:19:03</v>
      </c>
      <c r="L53" s="15">
        <f ca="1">IFERROR(__xludf.DUMMYFUNCTION("""COMPUTED_VALUE"""),1130)</f>
        <v>1130</v>
      </c>
      <c r="M53" s="16">
        <f ca="1">IFERROR(__xludf.DUMMYFUNCTION("""COMPUTED_VALUE"""),18.8333333333333)</f>
        <v>18.8333333333333</v>
      </c>
      <c r="N53" s="17"/>
    </row>
    <row r="54" spans="1:14" ht="15.75" customHeight="1">
      <c r="A54" s="15">
        <f ca="1">IFERROR(__xludf.DUMMYFUNCTION("""COMPUTED_VALUE"""),574)</f>
        <v>574</v>
      </c>
      <c r="B54" s="15" t="str">
        <f ca="1">IFERROR(__xludf.DUMMYFUNCTION("""COMPUTED_VALUE"""),"Nguyễn Hải Lâm")</f>
        <v>Nguyễn Hải Lâm</v>
      </c>
      <c r="C54" s="15" t="str">
        <f ca="1">IFERROR(__xludf.DUMMYFUNCTION("""COMPUTED_VALUE"""),"s1-16796")</f>
        <v>s1-16796</v>
      </c>
      <c r="D54" s="15">
        <f ca="1">IFERROR(__xludf.DUMMYFUNCTION("""COMPUTED_VALUE"""),5)</f>
        <v>5</v>
      </c>
      <c r="E54" s="15" t="str">
        <f ca="1">IFERROR(__xludf.DUMMYFUNCTION("""COMPUTED_VALUE"""),"5A2")</f>
        <v>5A2</v>
      </c>
      <c r="F54" s="15" t="str">
        <f ca="1">IFERROR(__xludf.DUMMYFUNCTION("""COMPUTED_VALUE"""),"TH Thành Công A")</f>
        <v>TH Thành Công A</v>
      </c>
      <c r="G54" s="15">
        <f ca="1">IFERROR(__xludf.DUMMYFUNCTION("""COMPUTED_VALUE"""),12)</f>
        <v>12</v>
      </c>
      <c r="H54" s="15">
        <f ca="1">IFERROR(__xludf.DUMMYFUNCTION("""COMPUTED_VALUE"""),8)</f>
        <v>8</v>
      </c>
      <c r="I54" s="15">
        <f ca="1">IFERROR(__xludf.DUMMYFUNCTION("""COMPUTED_VALUE"""),40)</f>
        <v>40</v>
      </c>
      <c r="J54" s="15">
        <f ca="1">IFERROR(__xludf.DUMMYFUNCTION("""COMPUTED_VALUE"""),100)</f>
        <v>100</v>
      </c>
      <c r="K54" s="15" t="str">
        <f ca="1">IFERROR(__xludf.DUMMYFUNCTION("""COMPUTED_VALUE"""),"28/02/2021 20:27:31")</f>
        <v>28/02/2021 20:27:31</v>
      </c>
      <c r="L54" s="15">
        <f ca="1">IFERROR(__xludf.DUMMYFUNCTION("""COMPUTED_VALUE"""),1645)</f>
        <v>1645</v>
      </c>
      <c r="M54" s="16">
        <f ca="1">IFERROR(__xludf.DUMMYFUNCTION("""COMPUTED_VALUE"""),27.4166666666666)</f>
        <v>27.4166666666666</v>
      </c>
      <c r="N54" s="17"/>
    </row>
    <row r="55" spans="1:14" ht="15.75" customHeight="1">
      <c r="A55" s="15">
        <f ca="1">IFERROR(__xludf.DUMMYFUNCTION("""COMPUTED_VALUE"""),576)</f>
        <v>576</v>
      </c>
      <c r="B55" s="15" t="str">
        <f ca="1">IFERROR(__xludf.DUMMYFUNCTION("""COMPUTED_VALUE"""),"Nguyễn Trung Nguyên")</f>
        <v>Nguyễn Trung Nguyên</v>
      </c>
      <c r="C55" s="15" t="str">
        <f ca="1">IFERROR(__xludf.DUMMYFUNCTION("""COMPUTED_VALUE"""),"s1-15553")</f>
        <v>s1-15553</v>
      </c>
      <c r="D55" s="15">
        <f ca="1">IFERROR(__xludf.DUMMYFUNCTION("""COMPUTED_VALUE"""),5)</f>
        <v>5</v>
      </c>
      <c r="E55" s="15" t="str">
        <f ca="1">IFERROR(__xludf.DUMMYFUNCTION("""COMPUTED_VALUE"""),"5A5")</f>
        <v>5A5</v>
      </c>
      <c r="F55" s="15" t="str">
        <f ca="1">IFERROR(__xludf.DUMMYFUNCTION("""COMPUTED_VALUE"""),"TH Thành Công A")</f>
        <v>TH Thành Công A</v>
      </c>
      <c r="G55" s="15">
        <f ca="1">IFERROR(__xludf.DUMMYFUNCTION("""COMPUTED_VALUE"""),12)</f>
        <v>12</v>
      </c>
      <c r="H55" s="15">
        <f ca="1">IFERROR(__xludf.DUMMYFUNCTION("""COMPUTED_VALUE"""),8)</f>
        <v>8</v>
      </c>
      <c r="I55" s="15">
        <f ca="1">IFERROR(__xludf.DUMMYFUNCTION("""COMPUTED_VALUE"""),40)</f>
        <v>40</v>
      </c>
      <c r="J55" s="15">
        <f ca="1">IFERROR(__xludf.DUMMYFUNCTION("""COMPUTED_VALUE"""),100)</f>
        <v>100</v>
      </c>
      <c r="K55" s="15" t="str">
        <f ca="1">IFERROR(__xludf.DUMMYFUNCTION("""COMPUTED_VALUE"""),"28/02/2021 20:33:18")</f>
        <v>28/02/2021 20:33:18</v>
      </c>
      <c r="L55" s="15">
        <f ca="1">IFERROR(__xludf.DUMMYFUNCTION("""COMPUTED_VALUE"""),1995)</f>
        <v>1995</v>
      </c>
      <c r="M55" s="16">
        <f ca="1">IFERROR(__xludf.DUMMYFUNCTION("""COMPUTED_VALUE"""),33.25)</f>
        <v>33.25</v>
      </c>
      <c r="N55" s="17"/>
    </row>
    <row r="56" spans="1:14" ht="15.75" customHeight="1">
      <c r="A56" s="15">
        <f ca="1">IFERROR(__xludf.DUMMYFUNCTION("""COMPUTED_VALUE"""),585)</f>
        <v>585</v>
      </c>
      <c r="B56" s="15" t="str">
        <f ca="1">IFERROR(__xludf.DUMMYFUNCTION("""COMPUTED_VALUE"""),"Nguyễn Hải Long")</f>
        <v>Nguyễn Hải Long</v>
      </c>
      <c r="C56" s="15" t="str">
        <f ca="1">IFERROR(__xludf.DUMMYFUNCTION("""COMPUTED_VALUE"""),"s1-17030")</f>
        <v>s1-17030</v>
      </c>
      <c r="D56" s="15">
        <f ca="1">IFERROR(__xludf.DUMMYFUNCTION("""COMPUTED_VALUE"""),4)</f>
        <v>4</v>
      </c>
      <c r="E56" s="15" t="str">
        <f ca="1">IFERROR(__xludf.DUMMYFUNCTION("""COMPUTED_VALUE"""),"4A5")</f>
        <v>4A5</v>
      </c>
      <c r="F56" s="15" t="str">
        <f ca="1">IFERROR(__xludf.DUMMYFUNCTION("""COMPUTED_VALUE"""),"TH Thành Công A")</f>
        <v>TH Thành Công A</v>
      </c>
      <c r="G56" s="15">
        <f ca="1">IFERROR(__xludf.DUMMYFUNCTION("""COMPUTED_VALUE"""),13)</f>
        <v>13</v>
      </c>
      <c r="H56" s="15">
        <f ca="1">IFERROR(__xludf.DUMMYFUNCTION("""COMPUTED_VALUE"""),7)</f>
        <v>7</v>
      </c>
      <c r="I56" s="15">
        <f ca="1">IFERROR(__xludf.DUMMYFUNCTION("""COMPUTED_VALUE"""),35)</f>
        <v>35</v>
      </c>
      <c r="J56" s="15">
        <f ca="1">IFERROR(__xludf.DUMMYFUNCTION("""COMPUTED_VALUE"""),100)</f>
        <v>100</v>
      </c>
      <c r="K56" s="15" t="str">
        <f ca="1">IFERROR(__xludf.DUMMYFUNCTION("""COMPUTED_VALUE"""),"28/02/2021 20:30:52")</f>
        <v>28/02/2021 20:30:52</v>
      </c>
      <c r="L56" s="15">
        <f ca="1">IFERROR(__xludf.DUMMYFUNCTION("""COMPUTED_VALUE"""),786)</f>
        <v>786</v>
      </c>
      <c r="M56" s="16">
        <f ca="1">IFERROR(__xludf.DUMMYFUNCTION("""COMPUTED_VALUE"""),13.1)</f>
        <v>13.1</v>
      </c>
      <c r="N56" s="17"/>
    </row>
    <row r="57" spans="1:14" ht="15.75" customHeight="1">
      <c r="A57" s="15">
        <f ca="1">IFERROR(__xludf.DUMMYFUNCTION("""COMPUTED_VALUE"""),589)</f>
        <v>589</v>
      </c>
      <c r="B57" s="15" t="str">
        <f ca="1">IFERROR(__xludf.DUMMYFUNCTION("""COMPUTED_VALUE"""),"Vũ Nhật Minh")</f>
        <v>Vũ Nhật Minh</v>
      </c>
      <c r="C57" s="15" t="str">
        <f ca="1">IFERROR(__xludf.DUMMYFUNCTION("""COMPUTED_VALUE"""),"s1-15520")</f>
        <v>s1-15520</v>
      </c>
      <c r="D57" s="15">
        <f ca="1">IFERROR(__xludf.DUMMYFUNCTION("""COMPUTED_VALUE"""),4)</f>
        <v>4</v>
      </c>
      <c r="E57" s="15" t="str">
        <f ca="1">IFERROR(__xludf.DUMMYFUNCTION("""COMPUTED_VALUE"""),"4A5")</f>
        <v>4A5</v>
      </c>
      <c r="F57" s="15" t="str">
        <f ca="1">IFERROR(__xludf.DUMMYFUNCTION("""COMPUTED_VALUE"""),"TH Thành Công A")</f>
        <v>TH Thành Công A</v>
      </c>
      <c r="G57" s="15">
        <f ca="1">IFERROR(__xludf.DUMMYFUNCTION("""COMPUTED_VALUE"""),13)</f>
        <v>13</v>
      </c>
      <c r="H57" s="15">
        <f ca="1">IFERROR(__xludf.DUMMYFUNCTION("""COMPUTED_VALUE"""),7)</f>
        <v>7</v>
      </c>
      <c r="I57" s="15">
        <f ca="1">IFERROR(__xludf.DUMMYFUNCTION("""COMPUTED_VALUE"""),35)</f>
        <v>35</v>
      </c>
      <c r="J57" s="15">
        <f ca="1">IFERROR(__xludf.DUMMYFUNCTION("""COMPUTED_VALUE"""),100)</f>
        <v>100</v>
      </c>
      <c r="K57" s="15" t="str">
        <f ca="1">IFERROR(__xludf.DUMMYFUNCTION("""COMPUTED_VALUE"""),"28/02/2021 20:21:46")</f>
        <v>28/02/2021 20:21:46</v>
      </c>
      <c r="L57" s="15">
        <f ca="1">IFERROR(__xludf.DUMMYFUNCTION("""COMPUTED_VALUE"""),845)</f>
        <v>845</v>
      </c>
      <c r="M57" s="16">
        <f ca="1">IFERROR(__xludf.DUMMYFUNCTION("""COMPUTED_VALUE"""),14.0833333333333)</f>
        <v>14.0833333333333</v>
      </c>
      <c r="N57" s="17"/>
    </row>
    <row r="58" spans="1:14" ht="15.75" customHeight="1">
      <c r="A58" s="15">
        <f ca="1">IFERROR(__xludf.DUMMYFUNCTION("""COMPUTED_VALUE"""),646)</f>
        <v>646</v>
      </c>
      <c r="B58" s="15" t="str">
        <f ca="1">IFERROR(__xludf.DUMMYFUNCTION("""COMPUTED_VALUE"""),"Nguyễn Thế Hiếu")</f>
        <v>Nguyễn Thế Hiếu</v>
      </c>
      <c r="C58" s="15" t="str">
        <f ca="1">IFERROR(__xludf.DUMMYFUNCTION("""COMPUTED_VALUE"""),"s1-15543")</f>
        <v>s1-15543</v>
      </c>
      <c r="D58" s="15">
        <f ca="1">IFERROR(__xludf.DUMMYFUNCTION("""COMPUTED_VALUE"""),5)</f>
        <v>5</v>
      </c>
      <c r="E58" s="15" t="str">
        <f ca="1">IFERROR(__xludf.DUMMYFUNCTION("""COMPUTED_VALUE"""),"5A3")</f>
        <v>5A3</v>
      </c>
      <c r="F58" s="15" t="str">
        <f ca="1">IFERROR(__xludf.DUMMYFUNCTION("""COMPUTED_VALUE"""),"TH Thành Công A")</f>
        <v>TH Thành Công A</v>
      </c>
      <c r="G58" s="15">
        <f ca="1">IFERROR(__xludf.DUMMYFUNCTION("""COMPUTED_VALUE"""),16)</f>
        <v>16</v>
      </c>
      <c r="H58" s="15">
        <f ca="1">IFERROR(__xludf.DUMMYFUNCTION("""COMPUTED_VALUE"""),2)</f>
        <v>2</v>
      </c>
      <c r="I58" s="15">
        <f ca="1">IFERROR(__xludf.DUMMYFUNCTION("""COMPUTED_VALUE"""),10)</f>
        <v>10</v>
      </c>
      <c r="J58" s="15">
        <f ca="1">IFERROR(__xludf.DUMMYFUNCTION("""COMPUTED_VALUE"""),100)</f>
        <v>100</v>
      </c>
      <c r="K58" s="15" t="str">
        <f ca="1">IFERROR(__xludf.DUMMYFUNCTION("""COMPUTED_VALUE"""),"28/02/2021 20:37:19")</f>
        <v>28/02/2021 20:37:19</v>
      </c>
      <c r="L58" s="15">
        <f ca="1">IFERROR(__xludf.DUMMYFUNCTION("""COMPUTED_VALUE"""),1038)</f>
        <v>1038</v>
      </c>
      <c r="M58" s="16">
        <f ca="1">IFERROR(__xludf.DUMMYFUNCTION("""COMPUTED_VALUE"""),17.3)</f>
        <v>17.3</v>
      </c>
      <c r="N58" s="17"/>
    </row>
    <row r="59" spans="1:14" ht="15.75" customHeight="1"/>
    <row r="60" spans="1:14" ht="15.75" customHeight="1"/>
    <row r="61" spans="1:14" ht="15.75" customHeight="1"/>
    <row r="62" spans="1:14" ht="15.75" customHeight="1"/>
    <row r="63" spans="1:14" ht="15.75" customHeight="1"/>
    <row r="64" spans="1:1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spans="1:16" ht="15.75" customHeight="1"/>
    <row r="418" spans="1:16" ht="15.75" customHeight="1"/>
    <row r="419" spans="1:16" ht="15.75" customHeight="1"/>
    <row r="420" spans="1:16" ht="15.75" customHeight="1"/>
    <row r="421" spans="1:16" ht="15.75" customHeight="1"/>
    <row r="422" spans="1:16" ht="15.75" customHeight="1"/>
    <row r="423" spans="1:16" ht="15.75" customHeight="1"/>
    <row r="424" spans="1:16" ht="15.75" customHeight="1"/>
    <row r="425" spans="1:16" ht="15.75" customHeight="1"/>
    <row r="426" spans="1:16" ht="15.75" customHeight="1"/>
    <row r="427" spans="1:16" ht="15.75" customHeight="1">
      <c r="A427" s="38"/>
      <c r="B427" s="35"/>
      <c r="C427" s="35"/>
      <c r="D427" s="9"/>
      <c r="E427" s="9"/>
      <c r="F427" s="10"/>
      <c r="G427" s="10"/>
      <c r="H427" s="10"/>
      <c r="I427" s="10"/>
      <c r="J427" s="10"/>
      <c r="K427" s="11"/>
      <c r="L427" s="11"/>
    </row>
    <row r="428" spans="1:16" ht="15.75" customHeight="1">
      <c r="A428" s="39"/>
      <c r="B428" s="35"/>
      <c r="C428" s="35"/>
      <c r="D428" s="9"/>
      <c r="E428" s="9"/>
      <c r="F428" s="10"/>
      <c r="G428" s="10"/>
      <c r="H428" s="10"/>
      <c r="I428" s="10"/>
      <c r="J428" s="10"/>
      <c r="K428" s="11"/>
      <c r="L428" s="11"/>
    </row>
    <row r="429" spans="1:16" ht="15.75" customHeight="1">
      <c r="A429" s="34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12"/>
    </row>
    <row r="430" spans="1:16" ht="15.75" customHeight="1">
      <c r="A430" s="36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</row>
    <row r="431" spans="1:16" ht="15.75" customHeight="1">
      <c r="A431" s="37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</row>
    <row r="432" spans="1:16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4"/>
      <c r="N432" s="14"/>
      <c r="O432" s="18"/>
      <c r="P432" s="18"/>
    </row>
    <row r="433" spans="1:14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6"/>
      <c r="N433" s="17"/>
    </row>
    <row r="434" spans="1:1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6"/>
      <c r="N434" s="17"/>
    </row>
    <row r="435" spans="1:14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6"/>
      <c r="N435" s="17"/>
    </row>
    <row r="436" spans="1:14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6"/>
      <c r="N436" s="17"/>
    </row>
    <row r="437" spans="1:14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6"/>
      <c r="N437" s="17"/>
    </row>
    <row r="438" spans="1:14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6"/>
      <c r="N438" s="17"/>
    </row>
    <row r="439" spans="1:14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6"/>
      <c r="N439" s="17"/>
    </row>
    <row r="440" spans="1:14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6"/>
      <c r="N440" s="17"/>
    </row>
    <row r="441" spans="1:14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6"/>
      <c r="N441" s="17"/>
    </row>
    <row r="442" spans="1:14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6"/>
      <c r="N442" s="17"/>
    </row>
    <row r="443" spans="1:14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6"/>
      <c r="N443" s="17"/>
    </row>
    <row r="444" spans="1:1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6"/>
      <c r="N444" s="17"/>
    </row>
    <row r="445" spans="1:14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6"/>
      <c r="N445" s="17"/>
    </row>
    <row r="446" spans="1:14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6"/>
      <c r="N446" s="17"/>
    </row>
    <row r="447" spans="1:14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6"/>
      <c r="N447" s="17"/>
    </row>
    <row r="448" spans="1:14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6"/>
      <c r="N448" s="17"/>
    </row>
    <row r="449" spans="1:14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6"/>
      <c r="N449" s="17"/>
    </row>
    <row r="450" spans="1:14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6"/>
      <c r="N450" s="17"/>
    </row>
    <row r="451" spans="1:14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6"/>
      <c r="N451" s="17"/>
    </row>
    <row r="452" spans="1:14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6"/>
      <c r="N452" s="17"/>
    </row>
    <row r="453" spans="1:14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6"/>
      <c r="N453" s="17"/>
    </row>
    <row r="454" spans="1:1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6"/>
      <c r="N454" s="17"/>
    </row>
    <row r="455" spans="1:14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6"/>
      <c r="N455" s="17"/>
    </row>
    <row r="456" spans="1:14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6"/>
      <c r="N456" s="17"/>
    </row>
    <row r="457" spans="1:14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6"/>
      <c r="N457" s="17"/>
    </row>
    <row r="458" spans="1:14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6"/>
      <c r="N458" s="17"/>
    </row>
    <row r="459" spans="1:14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6"/>
      <c r="N459" s="17"/>
    </row>
    <row r="460" spans="1:14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6"/>
      <c r="N460" s="17"/>
    </row>
    <row r="461" spans="1:14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6"/>
      <c r="N461" s="17"/>
    </row>
    <row r="462" spans="1:14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6"/>
      <c r="N462" s="17"/>
    </row>
    <row r="463" spans="1:14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6"/>
      <c r="N463" s="17"/>
    </row>
    <row r="464" spans="1:1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6"/>
      <c r="N464" s="17"/>
    </row>
    <row r="465" spans="1:14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6"/>
      <c r="N465" s="17"/>
    </row>
    <row r="466" spans="1:14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6"/>
      <c r="N466" s="17"/>
    </row>
    <row r="467" spans="1:14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6"/>
      <c r="N467" s="17"/>
    </row>
    <row r="468" spans="1:14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6"/>
      <c r="N468" s="17"/>
    </row>
    <row r="469" spans="1:14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6"/>
      <c r="N469" s="17"/>
    </row>
    <row r="470" spans="1:14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6"/>
      <c r="N470" s="17"/>
    </row>
    <row r="471" spans="1:14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6"/>
      <c r="N471" s="17"/>
    </row>
    <row r="472" spans="1:14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6"/>
      <c r="N472" s="17"/>
    </row>
    <row r="473" spans="1:14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6"/>
      <c r="N473" s="17"/>
    </row>
    <row r="474" spans="1:14" ht="15.75" customHeight="1">
      <c r="A474" s="15"/>
      <c r="B474" s="15"/>
      <c r="C474" s="15"/>
      <c r="D474" s="19"/>
      <c r="E474" s="19"/>
      <c r="F474" s="15"/>
      <c r="G474" s="15"/>
      <c r="H474" s="15"/>
      <c r="I474" s="15"/>
      <c r="J474" s="15"/>
      <c r="K474" s="15"/>
      <c r="L474" s="15"/>
      <c r="M474" s="16"/>
      <c r="N474" s="17"/>
    </row>
    <row r="475" spans="1:14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6"/>
      <c r="N475" s="17"/>
    </row>
    <row r="476" spans="1:14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6"/>
      <c r="N476" s="17"/>
    </row>
    <row r="477" spans="1:14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6"/>
      <c r="N477" s="17"/>
    </row>
    <row r="478" spans="1:14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6"/>
      <c r="N478" s="17"/>
    </row>
    <row r="479" spans="1:14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6"/>
      <c r="N479" s="17"/>
    </row>
    <row r="480" spans="1:14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6"/>
      <c r="N480" s="17"/>
    </row>
    <row r="481" spans="1:14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6"/>
      <c r="N481" s="17"/>
    </row>
    <row r="482" spans="1:14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6"/>
      <c r="N482" s="17"/>
    </row>
    <row r="483" spans="1:14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6"/>
      <c r="N483" s="17"/>
    </row>
    <row r="484" spans="1:1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6"/>
      <c r="N484" s="17"/>
    </row>
    <row r="485" spans="1:14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6"/>
      <c r="N485" s="17"/>
    </row>
    <row r="486" spans="1:14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6"/>
      <c r="N486" s="17"/>
    </row>
    <row r="487" spans="1:14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6"/>
      <c r="N487" s="17"/>
    </row>
    <row r="488" spans="1:14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6"/>
      <c r="N488" s="17"/>
    </row>
    <row r="489" spans="1:14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6"/>
      <c r="N489" s="17"/>
    </row>
    <row r="490" spans="1:14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6"/>
      <c r="N490" s="17"/>
    </row>
    <row r="491" spans="1:14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6"/>
      <c r="N491" s="17"/>
    </row>
    <row r="492" spans="1:14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6"/>
      <c r="N492" s="17"/>
    </row>
    <row r="493" spans="1:14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6"/>
      <c r="N493" s="17"/>
    </row>
    <row r="494" spans="1:1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6"/>
      <c r="N494" s="17"/>
    </row>
    <row r="495" spans="1:14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6"/>
      <c r="N495" s="17"/>
    </row>
    <row r="496" spans="1:14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6"/>
      <c r="N496" s="17"/>
    </row>
    <row r="497" spans="1:14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6"/>
      <c r="N497" s="17"/>
    </row>
    <row r="498" spans="1:14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6"/>
      <c r="N498" s="17"/>
    </row>
    <row r="499" spans="1:14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6"/>
      <c r="N499" s="17"/>
    </row>
    <row r="500" spans="1:14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6"/>
      <c r="N500" s="17"/>
    </row>
    <row r="501" spans="1:14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6"/>
      <c r="N501" s="17"/>
    </row>
    <row r="502" spans="1:14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6"/>
      <c r="N502" s="17"/>
    </row>
    <row r="503" spans="1:14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6"/>
      <c r="N503" s="17"/>
    </row>
    <row r="504" spans="1:1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6"/>
      <c r="N504" s="17"/>
    </row>
    <row r="505" spans="1:14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6"/>
      <c r="N505" s="17"/>
    </row>
    <row r="506" spans="1:14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6"/>
      <c r="N506" s="17"/>
    </row>
    <row r="507" spans="1:14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6"/>
      <c r="N507" s="17"/>
    </row>
    <row r="508" spans="1:14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6"/>
      <c r="N508" s="17"/>
    </row>
    <row r="509" spans="1:14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6"/>
      <c r="N509" s="17"/>
    </row>
    <row r="510" spans="1:14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6"/>
      <c r="N510" s="17"/>
    </row>
    <row r="511" spans="1:14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6"/>
      <c r="N511" s="17"/>
    </row>
    <row r="512" spans="1:14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6"/>
      <c r="N512" s="17"/>
    </row>
    <row r="513" spans="1:14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6"/>
      <c r="N513" s="17"/>
    </row>
    <row r="514" spans="1: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6"/>
      <c r="N514" s="17"/>
    </row>
    <row r="515" spans="1:14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6"/>
      <c r="N515" s="17"/>
    </row>
    <row r="516" spans="1:14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6"/>
      <c r="N516" s="17"/>
    </row>
    <row r="517" spans="1:14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6"/>
      <c r="N517" s="17"/>
    </row>
    <row r="518" spans="1:14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6"/>
      <c r="N518" s="17"/>
    </row>
    <row r="519" spans="1:14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6"/>
      <c r="N519" s="17"/>
    </row>
    <row r="520" spans="1:14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6"/>
      <c r="N520" s="17"/>
    </row>
    <row r="521" spans="1:14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6"/>
      <c r="N521" s="17"/>
    </row>
    <row r="522" spans="1:14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6"/>
      <c r="N522" s="17"/>
    </row>
    <row r="523" spans="1:14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6"/>
      <c r="N523" s="17"/>
    </row>
    <row r="524" spans="1:1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6"/>
      <c r="N524" s="17"/>
    </row>
    <row r="525" spans="1:14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6"/>
      <c r="N525" s="17"/>
    </row>
    <row r="526" spans="1:14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6"/>
      <c r="N526" s="17"/>
    </row>
    <row r="527" spans="1:14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6"/>
      <c r="N527" s="17"/>
    </row>
    <row r="528" spans="1:14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6"/>
      <c r="N528" s="17"/>
    </row>
    <row r="529" spans="1:14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6"/>
      <c r="N529" s="17"/>
    </row>
    <row r="530" spans="1:14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6"/>
      <c r="N530" s="17"/>
    </row>
    <row r="531" spans="1:14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6"/>
      <c r="N531" s="17"/>
    </row>
    <row r="532" spans="1:14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6"/>
      <c r="N532" s="17"/>
    </row>
    <row r="533" spans="1:14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6"/>
      <c r="N533" s="17"/>
    </row>
    <row r="534" spans="1:1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6"/>
      <c r="N534" s="17"/>
    </row>
    <row r="535" spans="1:14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6"/>
      <c r="N535" s="17"/>
    </row>
    <row r="536" spans="1:14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6"/>
      <c r="N536" s="17"/>
    </row>
    <row r="537" spans="1:14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6"/>
      <c r="N537" s="17"/>
    </row>
    <row r="538" spans="1:14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6"/>
      <c r="N538" s="17"/>
    </row>
    <row r="539" spans="1:14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6"/>
      <c r="N539" s="17"/>
    </row>
    <row r="540" spans="1:14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6"/>
      <c r="N540" s="17"/>
    </row>
    <row r="541" spans="1:14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6"/>
      <c r="N541" s="17"/>
    </row>
    <row r="542" spans="1:14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6"/>
      <c r="N542" s="17"/>
    </row>
    <row r="543" spans="1:14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6"/>
      <c r="N543" s="17"/>
    </row>
    <row r="544" spans="1:1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6"/>
      <c r="N544" s="17"/>
    </row>
    <row r="545" spans="1:14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6"/>
      <c r="N545" s="17"/>
    </row>
    <row r="546" spans="1:14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6"/>
      <c r="N546" s="17"/>
    </row>
    <row r="547" spans="1:14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6"/>
      <c r="N547" s="17"/>
    </row>
    <row r="548" spans="1:14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6"/>
      <c r="N548" s="17"/>
    </row>
    <row r="549" spans="1:14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6"/>
      <c r="N549" s="17"/>
    </row>
    <row r="550" spans="1:14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6"/>
      <c r="N550" s="17"/>
    </row>
    <row r="551" spans="1:14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6"/>
      <c r="N551" s="17"/>
    </row>
    <row r="552" spans="1:14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6"/>
      <c r="N552" s="17"/>
    </row>
    <row r="553" spans="1:14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6"/>
      <c r="N553" s="17"/>
    </row>
    <row r="554" spans="1:1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6"/>
      <c r="N554" s="17"/>
    </row>
    <row r="555" spans="1:14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6"/>
      <c r="N555" s="17"/>
    </row>
    <row r="556" spans="1:14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6"/>
      <c r="N556" s="17"/>
    </row>
    <row r="557" spans="1:14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6"/>
      <c r="N557" s="17"/>
    </row>
    <row r="558" spans="1:14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6"/>
      <c r="N558" s="17"/>
    </row>
    <row r="559" spans="1:14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6"/>
      <c r="N559" s="17"/>
    </row>
    <row r="560" spans="1:14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</sheetData>
  <mergeCells count="10">
    <mergeCell ref="A429:N429"/>
    <mergeCell ref="A430:N430"/>
    <mergeCell ref="A431:N431"/>
    <mergeCell ref="A1:C1"/>
    <mergeCell ref="A2:C2"/>
    <mergeCell ref="A3:N3"/>
    <mergeCell ref="A4:N4"/>
    <mergeCell ref="A5:N5"/>
    <mergeCell ref="A427:C427"/>
    <mergeCell ref="A428:C428"/>
  </mergeCells>
  <conditionalFormatting sqref="N1:N2 N7:N428 N433:N928">
    <cfRule type="cellIs" dxfId="1" priority="1" operator="equal">
      <formula>"✓"</formula>
    </cfRule>
  </conditionalFormatting>
  <conditionalFormatting sqref="N7:N58 N433:N559">
    <cfRule type="cellIs" dxfId="0" priority="2" operator="equal">
      <formula>"X"</formula>
    </cfRule>
  </conditionalFormatting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workbookViewId="0">
      <selection activeCell="C30" sqref="C30"/>
    </sheetView>
  </sheetViews>
  <sheetFormatPr defaultColWidth="12.625" defaultRowHeight="15" customHeight="1"/>
  <cols>
    <col min="1" max="1" width="19.25" customWidth="1"/>
    <col min="2" max="6" width="7.625" customWidth="1"/>
    <col min="7" max="7" width="19.25" customWidth="1"/>
    <col min="8" max="26" width="7.625" customWidth="1"/>
  </cols>
  <sheetData>
    <row r="1" spans="1:10">
      <c r="A1" s="1" t="s">
        <v>0</v>
      </c>
      <c r="B1" s="2"/>
      <c r="C1" s="2"/>
      <c r="D1" s="3"/>
      <c r="E1" s="3"/>
      <c r="F1" s="3"/>
      <c r="G1" s="4"/>
      <c r="H1" s="4"/>
    </row>
    <row r="2" spans="1:10">
      <c r="A2" s="40" t="s">
        <v>1</v>
      </c>
      <c r="B2" s="35"/>
      <c r="C2" s="35"/>
      <c r="D2" s="3"/>
      <c r="E2" s="3"/>
      <c r="F2" s="3"/>
      <c r="G2" s="41" t="s">
        <v>2</v>
      </c>
      <c r="H2" s="35"/>
    </row>
    <row r="3" spans="1:10">
      <c r="A3" s="5" t="str">
        <f ca="1">IFERROR(__xludf.DUMMYFUNCTION("sort(QUERY(All!A7:O5004,""select F, count(F) group by F ""),1, TRUE)"),"")</f>
        <v/>
      </c>
      <c r="B3" s="3" t="str">
        <f ca="1">IFERROR(__xludf.DUMMYFUNCTION("""COMPUTED_VALUE"""),"count ")</f>
        <v xml:space="preserve">count </v>
      </c>
      <c r="C3" s="6">
        <f ca="1">SUM(B4:B25)</f>
        <v>652</v>
      </c>
      <c r="D3" s="3"/>
      <c r="E3" s="3"/>
      <c r="F3" s="3"/>
      <c r="G3" s="5" t="str">
        <f ca="1">IFERROR(__xludf.DUMMYFUNCTION("sort(QUERY(All!A7:O5004,""select F, avg(I) group by F""), 1, TRUE)"),"")</f>
        <v/>
      </c>
      <c r="H3" s="7" t="str">
        <f ca="1">IFERROR(__xludf.DUMMYFUNCTION("""COMPUTED_VALUE"""),"avg ")</f>
        <v xml:space="preserve">avg </v>
      </c>
      <c r="J3" s="8" t="str">
        <f ca="1">IFERROR(__xludf.DUMMYFUNCTION("QUERY(All!A7:O2004,""select avg(I)"")"),"avg ")</f>
        <v xml:space="preserve">avg </v>
      </c>
    </row>
    <row r="4" spans="1:10">
      <c r="A4" s="8" t="str">
        <f ca="1">IFERROR(__xludf.DUMMYFUNCTION("""COMPUTED_VALUE"""),"TH Ba Đình")</f>
        <v>TH Ba Đình</v>
      </c>
      <c r="B4" s="8">
        <f ca="1">IFERROR(__xludf.DUMMYFUNCTION("""COMPUTED_VALUE"""),11)</f>
        <v>11</v>
      </c>
      <c r="G4" s="8" t="str">
        <f ca="1">IFERROR(__xludf.DUMMYFUNCTION("""COMPUTED_VALUE"""),"TH Ba Đình")</f>
        <v>TH Ba Đình</v>
      </c>
      <c r="H4" s="8">
        <f ca="1">IFERROR(__xludf.DUMMYFUNCTION("""COMPUTED_VALUE"""),64.5454545454545)</f>
        <v>64.545454545454504</v>
      </c>
      <c r="J4" s="8">
        <f ca="1">IFERROR(__xludf.DUMMYFUNCTION("""COMPUTED_VALUE"""),63.5352760736196)</f>
        <v>63.535276073619599</v>
      </c>
    </row>
    <row r="5" spans="1:10">
      <c r="A5" s="8" t="str">
        <f ca="1">IFERROR(__xludf.DUMMYFUNCTION("""COMPUTED_VALUE"""),"TH Đại Yên")</f>
        <v>TH Đại Yên</v>
      </c>
      <c r="B5" s="8">
        <f ca="1">IFERROR(__xludf.DUMMYFUNCTION("""COMPUTED_VALUE"""),47)</f>
        <v>47</v>
      </c>
      <c r="G5" s="8" t="str">
        <f ca="1">IFERROR(__xludf.DUMMYFUNCTION("""COMPUTED_VALUE"""),"TH Đại Yên")</f>
        <v>TH Đại Yên</v>
      </c>
      <c r="H5" s="8">
        <f ca="1">IFERROR(__xludf.DUMMYFUNCTION("""COMPUTED_VALUE"""),60.3191489361702)</f>
        <v>60.319148936170201</v>
      </c>
    </row>
    <row r="6" spans="1:10">
      <c r="A6" s="8" t="str">
        <f ca="1">IFERROR(__xludf.DUMMYFUNCTION("""COMPUTED_VALUE"""),"TH Hà Nội")</f>
        <v>TH Hà Nội</v>
      </c>
      <c r="B6" s="8">
        <f ca="1">IFERROR(__xludf.DUMMYFUNCTION("""COMPUTED_VALUE"""),4)</f>
        <v>4</v>
      </c>
      <c r="G6" s="8" t="str">
        <f ca="1">IFERROR(__xludf.DUMMYFUNCTION("""COMPUTED_VALUE"""),"TH Hà Nội")</f>
        <v>TH Hà Nội</v>
      </c>
      <c r="H6" s="8">
        <f ca="1">IFERROR(__xludf.DUMMYFUNCTION("""COMPUTED_VALUE"""),57.5)</f>
        <v>57.5</v>
      </c>
    </row>
    <row r="7" spans="1:10">
      <c r="A7" s="8" t="str">
        <f ca="1">IFERROR(__xludf.DUMMYFUNCTION("""COMPUTED_VALUE"""),"TH Hoàng Diệu")</f>
        <v>TH Hoàng Diệu</v>
      </c>
      <c r="B7" s="8">
        <f ca="1">IFERROR(__xludf.DUMMYFUNCTION("""COMPUTED_VALUE"""),32)</f>
        <v>32</v>
      </c>
      <c r="G7" s="8" t="str">
        <f ca="1">IFERROR(__xludf.DUMMYFUNCTION("""COMPUTED_VALUE"""),"TH Hoàng Diệu")</f>
        <v>TH Hoàng Diệu</v>
      </c>
      <c r="H7" s="8">
        <f ca="1">IFERROR(__xludf.DUMMYFUNCTION("""COMPUTED_VALUE"""),70.3125)</f>
        <v>70.3125</v>
      </c>
    </row>
    <row r="8" spans="1:10">
      <c r="A8" s="8" t="str">
        <f ca="1">IFERROR(__xludf.DUMMYFUNCTION("""COMPUTED_VALUE"""),"TH Hoàng Hoa Thám")</f>
        <v>TH Hoàng Hoa Thám</v>
      </c>
      <c r="B8" s="8">
        <f ca="1">IFERROR(__xludf.DUMMYFUNCTION("""COMPUTED_VALUE"""),22)</f>
        <v>22</v>
      </c>
      <c r="G8" s="8" t="str">
        <f ca="1">IFERROR(__xludf.DUMMYFUNCTION("""COMPUTED_VALUE"""),"TH Hoàng Hoa Thám")</f>
        <v>TH Hoàng Hoa Thám</v>
      </c>
      <c r="H8" s="8">
        <f ca="1">IFERROR(__xludf.DUMMYFUNCTION("""COMPUTED_VALUE"""),64.7727272727272)</f>
        <v>64.772727272727195</v>
      </c>
    </row>
    <row r="9" spans="1:10">
      <c r="A9" s="8" t="str">
        <f ca="1">IFERROR(__xludf.DUMMYFUNCTION("""COMPUTED_VALUE"""),"TH Kim Đồng")</f>
        <v>TH Kim Đồng</v>
      </c>
      <c r="B9" s="8">
        <f ca="1">IFERROR(__xludf.DUMMYFUNCTION("""COMPUTED_VALUE"""),96)</f>
        <v>96</v>
      </c>
      <c r="G9" s="8" t="str">
        <f ca="1">IFERROR(__xludf.DUMMYFUNCTION("""COMPUTED_VALUE"""),"TH Kim Đồng")</f>
        <v>TH Kim Đồng</v>
      </c>
      <c r="H9" s="8">
        <f ca="1">IFERROR(__xludf.DUMMYFUNCTION("""COMPUTED_VALUE"""),64.6354166666666)</f>
        <v>64.6354166666666</v>
      </c>
    </row>
    <row r="10" spans="1:10">
      <c r="A10" s="8" t="str">
        <f ca="1">IFERROR(__xludf.DUMMYFUNCTION("""COMPUTED_VALUE"""),"TH Nghĩa Dũng")</f>
        <v>TH Nghĩa Dũng</v>
      </c>
      <c r="B10" s="8">
        <f ca="1">IFERROR(__xludf.DUMMYFUNCTION("""COMPUTED_VALUE"""),34)</f>
        <v>34</v>
      </c>
      <c r="G10" s="8" t="str">
        <f ca="1">IFERROR(__xludf.DUMMYFUNCTION("""COMPUTED_VALUE"""),"TH Nghĩa Dũng")</f>
        <v>TH Nghĩa Dũng</v>
      </c>
      <c r="H10" s="8">
        <f ca="1">IFERROR(__xludf.DUMMYFUNCTION("""COMPUTED_VALUE"""),57.0588235294117)</f>
        <v>57.058823529411697</v>
      </c>
    </row>
    <row r="11" spans="1:10">
      <c r="A11" s="8" t="str">
        <f ca="1">IFERROR(__xludf.DUMMYFUNCTION("""COMPUTED_VALUE"""),"TH Ngọc Hà")</f>
        <v>TH Ngọc Hà</v>
      </c>
      <c r="B11" s="8">
        <f ca="1">IFERROR(__xludf.DUMMYFUNCTION("""COMPUTED_VALUE"""),33)</f>
        <v>33</v>
      </c>
      <c r="G11" s="8" t="str">
        <f ca="1">IFERROR(__xludf.DUMMYFUNCTION("""COMPUTED_VALUE"""),"TH Ngọc Hà")</f>
        <v>TH Ngọc Hà</v>
      </c>
      <c r="H11" s="8">
        <f ca="1">IFERROR(__xludf.DUMMYFUNCTION("""COMPUTED_VALUE"""),65.4545454545454)</f>
        <v>65.454545454545396</v>
      </c>
    </row>
    <row r="12" spans="1:10">
      <c r="A12" s="8" t="str">
        <f ca="1">IFERROR(__xludf.DUMMYFUNCTION("""COMPUTED_VALUE"""),"TH Ngọc Khánh")</f>
        <v>TH Ngọc Khánh</v>
      </c>
      <c r="B12" s="8">
        <f ca="1">IFERROR(__xludf.DUMMYFUNCTION("""COMPUTED_VALUE"""),62)</f>
        <v>62</v>
      </c>
      <c r="G12" s="8" t="str">
        <f ca="1">IFERROR(__xludf.DUMMYFUNCTION("""COMPUTED_VALUE"""),"TH Ngọc Khánh")</f>
        <v>TH Ngọc Khánh</v>
      </c>
      <c r="H12" s="8">
        <f ca="1">IFERROR(__xludf.DUMMYFUNCTION("""COMPUTED_VALUE"""),60.8064516129032)</f>
        <v>60.806451612903203</v>
      </c>
    </row>
    <row r="13" spans="1:10">
      <c r="A13" s="8" t="str">
        <f ca="1">IFERROR(__xludf.DUMMYFUNCTION("""COMPUTED_VALUE"""),"TH Nguyễn Bá Ngọc")</f>
        <v>TH Nguyễn Bá Ngọc</v>
      </c>
      <c r="B13" s="8">
        <f ca="1">IFERROR(__xludf.DUMMYFUNCTION("""COMPUTED_VALUE"""),19)</f>
        <v>19</v>
      </c>
      <c r="G13" s="8" t="str">
        <f ca="1">IFERROR(__xludf.DUMMYFUNCTION("""COMPUTED_VALUE"""),"TH Nguyễn Bá Ngọc")</f>
        <v>TH Nguyễn Bá Ngọc</v>
      </c>
      <c r="H13" s="8">
        <f ca="1">IFERROR(__xludf.DUMMYFUNCTION("""COMPUTED_VALUE"""),60)</f>
        <v>60</v>
      </c>
    </row>
    <row r="14" spans="1:10">
      <c r="A14" s="8" t="str">
        <f ca="1">IFERROR(__xludf.DUMMYFUNCTION("""COMPUTED_VALUE"""),"TH Nguyễn Tri Phương")</f>
        <v>TH Nguyễn Tri Phương</v>
      </c>
      <c r="B14" s="8">
        <f ca="1">IFERROR(__xludf.DUMMYFUNCTION("""COMPUTED_VALUE"""),55)</f>
        <v>55</v>
      </c>
      <c r="G14" s="8" t="str">
        <f ca="1">IFERROR(__xludf.DUMMYFUNCTION("""COMPUTED_VALUE"""),"TH Nguyễn Tri Phương")</f>
        <v>TH Nguyễn Tri Phương</v>
      </c>
      <c r="H14" s="8">
        <f ca="1">IFERROR(__xludf.DUMMYFUNCTION("""COMPUTED_VALUE"""),65.6363636363636)</f>
        <v>65.636363636363598</v>
      </c>
    </row>
    <row r="15" spans="1:10">
      <c r="A15" s="8" t="str">
        <f ca="1">IFERROR(__xludf.DUMMYFUNCTION("""COMPUTED_VALUE"""),"TH Nguyễn Trung Trực")</f>
        <v>TH Nguyễn Trung Trực</v>
      </c>
      <c r="B15" s="8">
        <f ca="1">IFERROR(__xludf.DUMMYFUNCTION("""COMPUTED_VALUE"""),32)</f>
        <v>32</v>
      </c>
      <c r="G15" s="8" t="str">
        <f ca="1">IFERROR(__xludf.DUMMYFUNCTION("""COMPUTED_VALUE"""),"TH Nguyễn Trung Trực")</f>
        <v>TH Nguyễn Trung Trực</v>
      </c>
      <c r="H15" s="8">
        <f ca="1">IFERROR(__xludf.DUMMYFUNCTION("""COMPUTED_VALUE"""),62.1875)</f>
        <v>62.1875</v>
      </c>
    </row>
    <row r="16" spans="1:10">
      <c r="A16" s="8" t="str">
        <f ca="1">IFERROR(__xludf.DUMMYFUNCTION("""COMPUTED_VALUE"""),"TH Phan Chu Trinh")</f>
        <v>TH Phan Chu Trinh</v>
      </c>
      <c r="B16" s="8">
        <f ca="1">IFERROR(__xludf.DUMMYFUNCTION("""COMPUTED_VALUE"""),44)</f>
        <v>44</v>
      </c>
      <c r="G16" s="8" t="str">
        <f ca="1">IFERROR(__xludf.DUMMYFUNCTION("""COMPUTED_VALUE"""),"TH Phan Chu Trinh")</f>
        <v>TH Phan Chu Trinh</v>
      </c>
      <c r="H16" s="8">
        <f ca="1">IFERROR(__xludf.DUMMYFUNCTION("""COMPUTED_VALUE"""),53.8636363636363)</f>
        <v>53.863636363636303</v>
      </c>
    </row>
    <row r="17" spans="1:8">
      <c r="A17" s="8" t="str">
        <f ca="1">IFERROR(__xludf.DUMMYFUNCTION("""COMPUTED_VALUE"""),"TH Thành Công A")</f>
        <v>TH Thành Công A</v>
      </c>
      <c r="B17" s="8">
        <f ca="1">IFERROR(__xludf.DUMMYFUNCTION("""COMPUTED_VALUE"""),52)</f>
        <v>52</v>
      </c>
      <c r="G17" s="8" t="str">
        <f ca="1">IFERROR(__xludf.DUMMYFUNCTION("""COMPUTED_VALUE"""),"TH Thành Công A")</f>
        <v>TH Thành Công A</v>
      </c>
      <c r="H17" s="8">
        <f ca="1">IFERROR(__xludf.DUMMYFUNCTION("""COMPUTED_VALUE"""),66.6346153846153)</f>
        <v>66.634615384615302</v>
      </c>
    </row>
    <row r="18" spans="1:8">
      <c r="A18" s="8" t="str">
        <f ca="1">IFERROR(__xludf.DUMMYFUNCTION("""COMPUTED_VALUE"""),"TH Thành Công B")</f>
        <v>TH Thành Công B</v>
      </c>
      <c r="B18" s="8">
        <f ca="1">IFERROR(__xludf.DUMMYFUNCTION("""COMPUTED_VALUE"""),26)</f>
        <v>26</v>
      </c>
      <c r="G18" s="8" t="str">
        <f ca="1">IFERROR(__xludf.DUMMYFUNCTION("""COMPUTED_VALUE"""),"TH Thành Công B")</f>
        <v>TH Thành Công B</v>
      </c>
      <c r="H18" s="8">
        <f ca="1">IFERROR(__xludf.DUMMYFUNCTION("""COMPUTED_VALUE"""),69.0384615384615)</f>
        <v>69.038461538461505</v>
      </c>
    </row>
    <row r="19" spans="1:8">
      <c r="A19" s="8" t="str">
        <f ca="1">IFERROR(__xludf.DUMMYFUNCTION("""COMPUTED_VALUE"""),"TH Thủ Lệ")</f>
        <v>TH Thủ Lệ</v>
      </c>
      <c r="B19" s="8">
        <f ca="1">IFERROR(__xludf.DUMMYFUNCTION("""COMPUTED_VALUE"""),9)</f>
        <v>9</v>
      </c>
      <c r="G19" s="8" t="str">
        <f ca="1">IFERROR(__xludf.DUMMYFUNCTION("""COMPUTED_VALUE"""),"TH Thủ Lệ")</f>
        <v>TH Thủ Lệ</v>
      </c>
      <c r="H19" s="8">
        <f ca="1">IFERROR(__xludf.DUMMYFUNCTION("""COMPUTED_VALUE"""),68.8888888888888)</f>
        <v>68.8888888888888</v>
      </c>
    </row>
    <row r="20" spans="1:8">
      <c r="A20" s="8" t="str">
        <f ca="1">IFERROR(__xludf.DUMMYFUNCTION("""COMPUTED_VALUE"""),"TH Thực Nghiệm")</f>
        <v>TH Thực Nghiệm</v>
      </c>
      <c r="B20" s="8">
        <f ca="1">IFERROR(__xludf.DUMMYFUNCTION("""COMPUTED_VALUE"""),29)</f>
        <v>29</v>
      </c>
      <c r="G20" s="8" t="str">
        <f ca="1">IFERROR(__xludf.DUMMYFUNCTION("""COMPUTED_VALUE"""),"TH Thực Nghiệm")</f>
        <v>TH Thực Nghiệm</v>
      </c>
      <c r="H20" s="8">
        <f ca="1">IFERROR(__xludf.DUMMYFUNCTION("""COMPUTED_VALUE"""),68.9655172413793)</f>
        <v>68.965517241379303</v>
      </c>
    </row>
    <row r="21" spans="1:8">
      <c r="A21" s="8" t="str">
        <f ca="1">IFERROR(__xludf.DUMMYFUNCTION("""COMPUTED_VALUE"""),"TH Vạn Phúc")</f>
        <v>TH Vạn Phúc</v>
      </c>
      <c r="B21" s="8">
        <f ca="1">IFERROR(__xludf.DUMMYFUNCTION("""COMPUTED_VALUE"""),14)</f>
        <v>14</v>
      </c>
      <c r="G21" s="8" t="str">
        <f ca="1">IFERROR(__xludf.DUMMYFUNCTION("""COMPUTED_VALUE"""),"TH Vạn Phúc")</f>
        <v>TH Vạn Phúc</v>
      </c>
      <c r="H21" s="8">
        <f ca="1">IFERROR(__xludf.DUMMYFUNCTION("""COMPUTED_VALUE"""),62.5)</f>
        <v>62.5</v>
      </c>
    </row>
    <row r="22" spans="1:8" ht="15.75" customHeight="1">
      <c r="A22" s="8" t="str">
        <f ca="1">IFERROR(__xludf.DUMMYFUNCTION("""COMPUTED_VALUE"""),"TH Việt Nam - Cu Ba")</f>
        <v>TH Việt Nam - Cu Ba</v>
      </c>
      <c r="B22" s="8">
        <f ca="1">IFERROR(__xludf.DUMMYFUNCTION("""COMPUTED_VALUE"""),24)</f>
        <v>24</v>
      </c>
      <c r="G22" s="8" t="str">
        <f ca="1">IFERROR(__xludf.DUMMYFUNCTION("""COMPUTED_VALUE"""),"TH Việt Nam - Cu Ba")</f>
        <v>TH Việt Nam - Cu Ba</v>
      </c>
      <c r="H22" s="8">
        <f ca="1">IFERROR(__xludf.DUMMYFUNCTION("""COMPUTED_VALUE"""),61.4583333333333)</f>
        <v>61.4583333333333</v>
      </c>
    </row>
    <row r="23" spans="1:8" ht="15.75" customHeight="1">
      <c r="A23" s="8" t="str">
        <f ca="1">IFERROR(__xludf.DUMMYFUNCTION("""COMPUTED_VALUE"""),"TH Vinschool Metropolis")</f>
        <v>TH Vinschool Metropolis</v>
      </c>
      <c r="B23" s="8">
        <f ca="1">IFERROR(__xludf.DUMMYFUNCTION("""COMPUTED_VALUE"""),7)</f>
        <v>7</v>
      </c>
      <c r="G23" s="8" t="str">
        <f ca="1">IFERROR(__xludf.DUMMYFUNCTION("""COMPUTED_VALUE"""),"TH Vinschool Metropolis")</f>
        <v>TH Vinschool Metropolis</v>
      </c>
      <c r="H23" s="8">
        <f ca="1">IFERROR(__xludf.DUMMYFUNCTION("""COMPUTED_VALUE"""),80)</f>
        <v>80</v>
      </c>
    </row>
    <row r="24" spans="1:8" ht="15.75" customHeight="1">
      <c r="A24" s="8"/>
      <c r="B24" s="8">
        <f ca="1">IFERROR(__xludf.DUMMYFUNCTION("""COMPUTED_VALUE"""),0)</f>
        <v>0</v>
      </c>
      <c r="G24" s="8"/>
      <c r="H24" s="8"/>
    </row>
    <row r="25" spans="1:8" ht="15.75" customHeight="1"/>
    <row r="26" spans="1:8" ht="15.75" customHeight="1"/>
    <row r="27" spans="1:8" ht="15.75" customHeight="1"/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">
    <mergeCell ref="A2:C2"/>
    <mergeCell ref="G2:H2"/>
  </mergeCells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Thống kê</vt:lpstr>
      <vt:lpstr>TH Thành Công A</vt:lpstr>
      <vt:lpstr>Count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Nguyen</cp:lastModifiedBy>
  <dcterms:modified xsi:type="dcterms:W3CDTF">2021-03-05T14:12:40Z</dcterms:modified>
</cp:coreProperties>
</file>